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90" yWindow="-60" windowWidth="15330" windowHeight="12450" xr2:uid="{00000000-000D-0000-FFFF-FFFF00000000}"/>
  </bookViews>
  <sheets>
    <sheet name="2017" sheetId="2" r:id="rId1"/>
    <sheet name="2017 200k +" sheetId="3" r:id="rId2"/>
    <sheet name="Combined Print Sheet" sheetId="5" r:id="rId3"/>
  </sheets>
  <definedNames>
    <definedName name="FIT_average_rate" localSheetId="0">'2017'!$C$46</definedName>
    <definedName name="FIT_average_rate" localSheetId="1">'2017 200k +'!$C$46</definedName>
    <definedName name="FIT_marginal_rate" localSheetId="0">'2017'!$C$43</definedName>
    <definedName name="FIT_marginal_rate" localSheetId="1">'2017 200k +'!$C$43</definedName>
    <definedName name="H" localSheetId="0">'2017'!$C$13</definedName>
    <definedName name="H" localSheetId="1">'2017 200k +'!$C$13</definedName>
    <definedName name="H" localSheetId="2">'Combined Print Sheet'!$C$13</definedName>
    <definedName name="Housing_Value" localSheetId="0">'2017'!$C$42</definedName>
    <definedName name="Housing_Value" localSheetId="1">'2017 200k +'!$C$42</definedName>
    <definedName name="Housing_Value" localSheetId="2">'Combined Print Sheet'!$C$46</definedName>
    <definedName name="MC_tax_rate" localSheetId="0">'2017'!$C$38</definedName>
    <definedName name="MC_tax_rate" localSheetId="1">'2017 200k +'!$C$38</definedName>
    <definedName name="MC_tax_rate" localSheetId="2">'Combined Print Sheet'!$C$42</definedName>
    <definedName name="Pension_Rate" localSheetId="0">'2017'!$C$41</definedName>
    <definedName name="Pension_Rate" localSheetId="1">'2017 200k +'!$C$41</definedName>
    <definedName name="_xlnm.Print_Area" localSheetId="0">'2017'!$A$1:$Q$51</definedName>
    <definedName name="_xlnm.Print_Area" localSheetId="1">'2017 200k +'!$A$1:$Q$51</definedName>
    <definedName name="_xlnm.Print_Area" localSheetId="2">'Combined Print Sheet'!$A$1:$L$40</definedName>
    <definedName name="Rectory?" localSheetId="0">'2017'!$A$9</definedName>
    <definedName name="Rectory?" localSheetId="1">'2017 200k +'!$A$9</definedName>
    <definedName name="Rectory?" localSheetId="2">'Combined Print Sheet'!$A$9</definedName>
    <definedName name="S" localSheetId="0">'2017'!$C$12</definedName>
    <definedName name="S" localSheetId="1">'2017 200k +'!$C$12</definedName>
    <definedName name="S" localSheetId="2">'Combined Print Sheet'!$C$12</definedName>
    <definedName name="SE_tax_base" localSheetId="0">'2017'!$C$36</definedName>
    <definedName name="SE_tax_base" localSheetId="1">'2017 200k +'!$C$36</definedName>
    <definedName name="SE_tax_base" localSheetId="2">'Combined Print Sheet'!$C$40</definedName>
    <definedName name="SE_tax_rate" localSheetId="0">'2017'!$C$37</definedName>
    <definedName name="SE_tax_rate" localSheetId="1">'2017 200k +'!$C$37</definedName>
    <definedName name="SE_tax_rate" localSheetId="2">'Combined Print Sheet'!$C$41</definedName>
    <definedName name="SSR" localSheetId="0">'2017'!$C$17</definedName>
    <definedName name="SSR" localSheetId="1">'2017 200k +'!$C$17</definedName>
    <definedName name="SSR" localSheetId="2">'Combined Print Sheet'!$C$17</definedName>
    <definedName name="U" localSheetId="0">'2017'!$C$14</definedName>
    <definedName name="U" localSheetId="1">'2017 200k +'!$C$14</definedName>
    <definedName name="U" localSheetId="2">'Combined Print Sheet'!$C$14</definedName>
  </definedNames>
  <calcPr calcId="171027"/>
</workbook>
</file>

<file path=xl/calcChain.xml><?xml version="1.0" encoding="utf-8"?>
<calcChain xmlns="http://schemas.openxmlformats.org/spreadsheetml/2006/main">
  <c r="C36" i="5" l="1"/>
  <c r="C32" i="5"/>
  <c r="B40" i="3" l="1"/>
  <c r="B39" i="3"/>
  <c r="B36" i="3"/>
  <c r="C15" i="5" l="1"/>
  <c r="Q16" i="3"/>
  <c r="P16" i="3"/>
  <c r="L16" i="3"/>
  <c r="J16" i="3"/>
  <c r="I16" i="3"/>
  <c r="H16" i="3"/>
  <c r="E16" i="3"/>
  <c r="Q47" i="2"/>
  <c r="E16" i="2"/>
  <c r="J16" i="2"/>
  <c r="I16" i="2"/>
  <c r="H16" i="2"/>
  <c r="J34" i="2"/>
  <c r="Q16" i="2"/>
  <c r="P16" i="2"/>
  <c r="L16" i="2"/>
  <c r="C21" i="5" l="1"/>
  <c r="N23" i="3"/>
  <c r="L23" i="3"/>
  <c r="F23" i="3"/>
  <c r="C12" i="5"/>
  <c r="C30" i="5" s="1"/>
  <c r="C11" i="5"/>
  <c r="A8" i="5"/>
  <c r="B6" i="3"/>
  <c r="B5" i="5" s="1"/>
  <c r="B5" i="3"/>
  <c r="B4" i="5" s="1"/>
  <c r="B4" i="3"/>
  <c r="B3" i="5" s="1"/>
  <c r="C34" i="3"/>
  <c r="E22" i="3"/>
  <c r="D22" i="3"/>
  <c r="Q47" i="3" s="1"/>
  <c r="I18" i="3"/>
  <c r="I23" i="3" s="1"/>
  <c r="H18" i="3"/>
  <c r="H23" i="3" s="1"/>
  <c r="I17" i="3"/>
  <c r="H17" i="3"/>
  <c r="I14" i="3"/>
  <c r="H14" i="3"/>
  <c r="C14" i="3"/>
  <c r="Q14" i="3" s="1"/>
  <c r="Q13" i="3"/>
  <c r="N13" i="3"/>
  <c r="L13" i="3"/>
  <c r="J13" i="3"/>
  <c r="H13" i="3"/>
  <c r="D13" i="3"/>
  <c r="I12" i="3"/>
  <c r="H12" i="3"/>
  <c r="C29" i="5" l="1"/>
  <c r="E11" i="5"/>
  <c r="I24" i="3"/>
  <c r="C15" i="3" s="1"/>
  <c r="H24" i="3"/>
  <c r="E14" i="3"/>
  <c r="N14" i="3"/>
  <c r="P22" i="3"/>
  <c r="Q45" i="3"/>
  <c r="J14" i="3"/>
  <c r="D22" i="2"/>
  <c r="Q15" i="3" l="1"/>
  <c r="J17" i="3"/>
  <c r="P17" i="3"/>
  <c r="M17" i="3"/>
  <c r="D17" i="3"/>
  <c r="Q17" i="3"/>
  <c r="F15" i="3"/>
  <c r="N15" i="3"/>
  <c r="J32" i="3" s="1"/>
  <c r="J15" i="3"/>
  <c r="Q48" i="2"/>
  <c r="P22" i="2"/>
  <c r="C34" i="2"/>
  <c r="C14" i="2" s="1"/>
  <c r="C17" i="2" s="1"/>
  <c r="C18" i="2" s="1"/>
  <c r="I12" i="2"/>
  <c r="J13" i="2"/>
  <c r="J12" i="2"/>
  <c r="Q13" i="2"/>
  <c r="H13" i="2"/>
  <c r="H12" i="2"/>
  <c r="Q12" i="2"/>
  <c r="E22" i="2"/>
  <c r="N13" i="2"/>
  <c r="L13" i="2"/>
  <c r="D13" i="2"/>
  <c r="Q45" i="2" s="1"/>
  <c r="P12" i="2"/>
  <c r="L12" i="2"/>
  <c r="D12" i="2"/>
  <c r="Q44" i="2" s="1"/>
  <c r="H14" i="2" l="1"/>
  <c r="C13" i="5"/>
  <c r="E14" i="2"/>
  <c r="Q14" i="2"/>
  <c r="I14" i="2"/>
  <c r="N14" i="2"/>
  <c r="J14" i="2"/>
  <c r="L23" i="2"/>
  <c r="J31" i="2" s="1"/>
  <c r="C16" i="5" l="1"/>
  <c r="I17" i="2"/>
  <c r="H17" i="2"/>
  <c r="M17" i="2"/>
  <c r="J17" i="2"/>
  <c r="D17" i="2"/>
  <c r="P17" i="2"/>
  <c r="Q17" i="2"/>
  <c r="I18" i="2" l="1"/>
  <c r="I23" i="2" s="1"/>
  <c r="I24" i="2" s="1"/>
  <c r="C15" i="2" s="1"/>
  <c r="Q35" i="2"/>
  <c r="H18" i="2"/>
  <c r="H23" i="2" s="1"/>
  <c r="H24" i="2" s="1"/>
  <c r="S37" i="2"/>
  <c r="Q46" i="2"/>
  <c r="M18" i="2"/>
  <c r="Q18" i="2"/>
  <c r="D18" i="2"/>
  <c r="D23" i="2" s="1"/>
  <c r="P18" i="2"/>
  <c r="J18" i="2"/>
  <c r="N15" i="2" l="1"/>
  <c r="N23" i="2" s="1"/>
  <c r="J32" i="2" s="1"/>
  <c r="C14" i="5"/>
  <c r="F15" i="2"/>
  <c r="F23" i="2" s="1"/>
  <c r="J15" i="2"/>
  <c r="J23" i="2" s="1"/>
  <c r="J24" i="2" s="1"/>
  <c r="Q15" i="2"/>
  <c r="Q29" i="2" s="1"/>
  <c r="Q31" i="2" s="1"/>
  <c r="J25" i="2" l="1"/>
  <c r="C19" i="2"/>
  <c r="P23" i="2"/>
  <c r="Q41" i="2" s="1"/>
  <c r="M23" i="2"/>
  <c r="Q23" i="2"/>
  <c r="J42" i="2" l="1"/>
  <c r="J33" i="2"/>
  <c r="J45" i="2"/>
  <c r="C20" i="2"/>
  <c r="E19" i="2"/>
  <c r="E23" i="2" s="1"/>
  <c r="J36" i="2"/>
  <c r="Q32" i="2"/>
  <c r="J46" i="2" l="1"/>
  <c r="Q6" i="2"/>
  <c r="J37" i="2"/>
  <c r="I42" i="2" s="1"/>
  <c r="Q34" i="2"/>
  <c r="S32" i="2"/>
  <c r="S33" i="2" s="1"/>
  <c r="AB6" i="2" l="1"/>
  <c r="C12" i="3"/>
  <c r="Q37" i="2"/>
  <c r="N37" i="2" s="1"/>
  <c r="I46" i="2"/>
  <c r="J48" i="2"/>
  <c r="Q12" i="3" l="1"/>
  <c r="L12" i="3"/>
  <c r="J31" i="3" s="1"/>
  <c r="D12" i="3"/>
  <c r="Q44" i="3" s="1"/>
  <c r="J12" i="3"/>
  <c r="C18" i="3"/>
  <c r="P12" i="3"/>
  <c r="T37" i="2"/>
  <c r="Q40" i="2"/>
  <c r="Q42" i="2"/>
  <c r="Q49" i="2" s="1"/>
  <c r="Q51" i="2" s="1"/>
  <c r="Q35" i="3" l="1"/>
  <c r="Q37" i="3" s="1"/>
  <c r="M18" i="3"/>
  <c r="M23" i="3" s="1"/>
  <c r="J33" i="3" s="1"/>
  <c r="Q46" i="3"/>
  <c r="J18" i="3"/>
  <c r="D18" i="3"/>
  <c r="D23" i="3" s="1"/>
  <c r="P18" i="3"/>
  <c r="P23" i="3" s="1"/>
  <c r="Q41" i="3" s="1"/>
  <c r="Q18" i="3"/>
  <c r="Q23" i="3" s="1"/>
  <c r="S37" i="3"/>
  <c r="C17" i="5"/>
  <c r="J35" i="3" l="1"/>
  <c r="J36" i="3" s="1"/>
  <c r="Q42" i="3"/>
  <c r="Q48" i="3" s="1"/>
  <c r="Q50" i="3" s="1"/>
  <c r="Q29" i="3"/>
  <c r="Q31" i="3" s="1"/>
  <c r="Q32" i="3" s="1"/>
  <c r="S32" i="3" s="1"/>
  <c r="S33" i="3" s="1"/>
  <c r="Q40" i="3"/>
  <c r="N37" i="3"/>
  <c r="T37" i="3"/>
  <c r="E16" i="5"/>
  <c r="C33" i="5" s="1"/>
  <c r="J24" i="3"/>
  <c r="J23" i="3"/>
  <c r="C31" i="5" l="1"/>
  <c r="I16" i="5"/>
  <c r="J25" i="3"/>
  <c r="C19" i="3"/>
  <c r="C34" i="5" l="1"/>
  <c r="J41" i="3"/>
  <c r="E19" i="3"/>
  <c r="E23" i="3" s="1"/>
  <c r="C18" i="5"/>
  <c r="C19" i="5" s="1"/>
  <c r="C20" i="3"/>
  <c r="C39" i="5" l="1"/>
  <c r="I41" i="3"/>
  <c r="J45" i="3"/>
  <c r="I45" i="3" l="1"/>
  <c r="J47" i="3"/>
</calcChain>
</file>

<file path=xl/sharedStrings.xml><?xml version="1.0" encoding="utf-8"?>
<sst xmlns="http://schemas.openxmlformats.org/spreadsheetml/2006/main" count="260" uniqueCount="118">
  <si>
    <t>&lt;=Place X here if Priest lives in Church-owned housing</t>
  </si>
  <si>
    <t>Cash Flow</t>
  </si>
  <si>
    <t>Group for Reporting</t>
  </si>
  <si>
    <t>Compute Tax Effects</t>
  </si>
  <si>
    <t>Non-cash</t>
  </si>
  <si>
    <t>Stipend</t>
  </si>
  <si>
    <t>SE Tax</t>
  </si>
  <si>
    <t>Housing</t>
  </si>
  <si>
    <t>S</t>
  </si>
  <si>
    <t>H</t>
  </si>
  <si>
    <t>Housing Expense paid to Priest</t>
  </si>
  <si>
    <t>U</t>
  </si>
  <si>
    <t>Utilities paid directly by Church</t>
  </si>
  <si>
    <t>R</t>
  </si>
  <si>
    <t>Rectory - Imputed Value</t>
  </si>
  <si>
    <t>SSR</t>
  </si>
  <si>
    <t>Social Security</t>
  </si>
  <si>
    <t>SMT</t>
  </si>
  <si>
    <t>Medicare Tax</t>
  </si>
  <si>
    <t>P</t>
  </si>
  <si>
    <t>Pension Premium</t>
  </si>
  <si>
    <t>TDA</t>
  </si>
  <si>
    <t>Tax Deferred Annuity</t>
  </si>
  <si>
    <t>Total Package</t>
  </si>
  <si>
    <t>Compute Equivalent Lay Compensation</t>
  </si>
  <si>
    <t>Verify calculation of Tax Reimbursement</t>
  </si>
  <si>
    <t>Electricity</t>
  </si>
  <si>
    <t>For vestry information</t>
  </si>
  <si>
    <t>Self Employment Income</t>
  </si>
  <si>
    <t>Gas</t>
  </si>
  <si>
    <t>Salary</t>
  </si>
  <si>
    <t xml:space="preserve">less statutory deduction of </t>
  </si>
  <si>
    <t>Water</t>
  </si>
  <si>
    <t>Telephone</t>
  </si>
  <si>
    <t>taxable for self employment tax</t>
  </si>
  <si>
    <t>Costs paid by church in addition to utilities</t>
  </si>
  <si>
    <t>self employment tax</t>
  </si>
  <si>
    <t>below limit</t>
  </si>
  <si>
    <t>Tax Rates, etc.</t>
  </si>
  <si>
    <t>FIT on housing at marginal rate</t>
  </si>
  <si>
    <t>above limit</t>
  </si>
  <si>
    <t>SE tax base</t>
  </si>
  <si>
    <t>Total</t>
  </si>
  <si>
    <t>total</t>
  </si>
  <si>
    <t>SE tax rate</t>
  </si>
  <si>
    <t>Compute Voluntary Withholding</t>
  </si>
  <si>
    <t>MC tax rate</t>
  </si>
  <si>
    <t>Benefits</t>
  </si>
  <si>
    <t>% of effective salary</t>
  </si>
  <si>
    <t>Self Employment Tax</t>
  </si>
  <si>
    <t>Pension Rate</t>
  </si>
  <si>
    <t>Automobile</t>
  </si>
  <si>
    <t>Estimated Income Tax</t>
  </si>
  <si>
    <t>Housing Value</t>
  </si>
  <si>
    <t>Pension</t>
  </si>
  <si>
    <t>Total withholding</t>
  </si>
  <si>
    <t>FIT marginal rate</t>
  </si>
  <si>
    <t>Health and life insurance, estimate</t>
  </si>
  <si>
    <t>Compute Monthly Paycheck</t>
  </si>
  <si>
    <t>to estimate equivalent lay compensation</t>
  </si>
  <si>
    <t xml:space="preserve">     (included with diocesan assessment)</t>
  </si>
  <si>
    <t>rate based on lay income</t>
  </si>
  <si>
    <t>Employer SS</t>
  </si>
  <si>
    <t>FIT average rate</t>
  </si>
  <si>
    <t>to compute voluntary withholding</t>
  </si>
  <si>
    <t>rate based on clergy income</t>
  </si>
  <si>
    <t>Total lay equivalent package</t>
  </si>
  <si>
    <t>Annuity w/h</t>
  </si>
  <si>
    <t>Net Pay</t>
  </si>
  <si>
    <t>** Dependent on how clergy member wants to handle taxes.</t>
  </si>
  <si>
    <t>Paid to 
Rector</t>
  </si>
  <si>
    <t>Paid to 
Others</t>
  </si>
  <si>
    <t>Compute
Pension</t>
  </si>
  <si>
    <t>Compute 
Imputed 
Value of Rectory 
for SSR</t>
  </si>
  <si>
    <t>Compute 
Imputed 
Value of Rectory 
for Pension</t>
  </si>
  <si>
    <t>Taxable
 for FIT</t>
  </si>
  <si>
    <t>Self Empl.
 Income 
for FICA</t>
  </si>
  <si>
    <t>(rectory estimated at 30%)</t>
  </si>
  <si>
    <t>Date:</t>
  </si>
  <si>
    <t>Church Name:</t>
  </si>
  <si>
    <t>Name of Clergy:</t>
  </si>
  <si>
    <t>Other (specify)</t>
  </si>
  <si>
    <t>TOTAL</t>
  </si>
  <si>
    <t>Effective %</t>
  </si>
  <si>
    <t>(note that this amount is deducted from the clergy's gross pay upon their</t>
  </si>
  <si>
    <t>request and sent directly to the Church Pension Group-RSVP plan on their behalf).</t>
  </si>
  <si>
    <t>Annual Figures</t>
  </si>
  <si>
    <t>Utilities paid directly by Church - if rectory is provided ONLY</t>
  </si>
  <si>
    <t>FIT w/h **</t>
  </si>
  <si>
    <t>SS Reimbursement **</t>
  </si>
  <si>
    <t>50% of SE tax</t>
  </si>
  <si>
    <t xml:space="preserve"> 50% of SE tax rate</t>
  </si>
  <si>
    <t>MC tax base</t>
  </si>
  <si>
    <t>MC addt'l tax rate 2013</t>
  </si>
  <si>
    <t>amount of taxable comp above 200k</t>
  </si>
  <si>
    <t>MANUALLY PUT IN CELL C15 IF GREATER THAN ZERO</t>
  </si>
  <si>
    <t>MC no RECTORY</t>
  </si>
  <si>
    <t>IGNORE THIS FOR NOW</t>
  </si>
  <si>
    <r>
      <t xml:space="preserve">NOTE: Amounts in </t>
    </r>
    <r>
      <rPr>
        <b/>
        <i/>
        <sz val="18"/>
        <rFont val="Times Roman"/>
        <family val="1"/>
      </rPr>
      <t>bold and italics</t>
    </r>
    <r>
      <rPr>
        <b/>
        <sz val="18"/>
        <rFont val="Times Roman"/>
        <family val="1"/>
      </rPr>
      <t xml:space="preserve"> are amounts to be input.  The rest will calculate based on current tax law and Episcopal Canons of the Diocese of Texas.</t>
    </r>
  </si>
  <si>
    <t>This worksheet calculates automatically based on the clergy inccome above $200,000.</t>
  </si>
  <si>
    <t>ADDT'L Medicare Tax</t>
  </si>
  <si>
    <t>100% of Addt'l MC tax</t>
  </si>
  <si>
    <t>TOTAL SSR</t>
  </si>
  <si>
    <t>If this number is greater than or equal to ZERO, see tabs 2 and 3 for further calculations.</t>
  </si>
  <si>
    <t>Employer-Paid Tuition</t>
  </si>
  <si>
    <t>T</t>
  </si>
  <si>
    <t>(IRS added in 2013, no change for 2016)</t>
  </si>
  <si>
    <t>TOTAL STIPEND AND HOUSING</t>
  </si>
  <si>
    <t>Effective SSR rate</t>
  </si>
  <si>
    <t>Compute Semi-Monthly Paycheck</t>
  </si>
  <si>
    <t>403b w/h</t>
  </si>
  <si>
    <t>Dental Deduction</t>
  </si>
  <si>
    <t>H.S.A Contrib-employee</t>
  </si>
  <si>
    <t>Supp Life Ins</t>
  </si>
  <si>
    <t xml:space="preserve">SS Reimbursement </t>
  </si>
  <si>
    <t xml:space="preserve">FIT w/h </t>
  </si>
  <si>
    <t>SSR w/h</t>
  </si>
  <si>
    <t>(Changed for 2017 rate change by 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</si>
</sst>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0.000000"/>
    <numFmt numFmtId="166" formatCode="0.0%"/>
  </numFmts>
  <fonts count="3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0"/>
      <name val="Times Roman"/>
      <family val="1"/>
    </font>
    <font>
      <sz val="12"/>
      <name val="Times Roman"/>
      <family val="1"/>
    </font>
    <font>
      <b/>
      <sz val="12"/>
      <color indexed="10"/>
      <name val="Times Roman"/>
      <family val="1"/>
    </font>
    <font>
      <b/>
      <sz val="12"/>
      <name val="Times Roman"/>
      <family val="1"/>
    </font>
    <font>
      <b/>
      <i/>
      <sz val="12"/>
      <name val="Times Roman"/>
      <family val="1"/>
    </font>
    <font>
      <sz val="14"/>
      <name val="Times Roman"/>
      <family val="1"/>
    </font>
    <font>
      <b/>
      <sz val="14"/>
      <name val="Times Roman"/>
      <family val="1"/>
    </font>
    <font>
      <b/>
      <sz val="10"/>
      <name val="Times Roman"/>
      <family val="1"/>
    </font>
    <font>
      <b/>
      <i/>
      <u/>
      <sz val="12"/>
      <name val="Times Roman"/>
      <family val="1"/>
    </font>
    <font>
      <b/>
      <sz val="12"/>
      <name val="Times Roman"/>
      <family val="1"/>
    </font>
    <font>
      <i/>
      <sz val="12"/>
      <name val="Times Roman"/>
      <family val="1"/>
    </font>
    <font>
      <b/>
      <u/>
      <sz val="12"/>
      <name val="Times Roman"/>
      <family val="1"/>
    </font>
    <font>
      <sz val="12"/>
      <color theme="0"/>
      <name val="Times Roman"/>
      <family val="1"/>
    </font>
    <font>
      <b/>
      <sz val="12"/>
      <color theme="0"/>
      <name val="Times Roman"/>
      <family val="1"/>
    </font>
    <font>
      <b/>
      <i/>
      <sz val="12"/>
      <name val="Times Roman"/>
      <family val="1"/>
    </font>
    <font>
      <b/>
      <i/>
      <sz val="10"/>
      <name val="Times Roman"/>
      <family val="1"/>
    </font>
    <font>
      <b/>
      <i/>
      <sz val="14"/>
      <name val="Times Roman"/>
      <family val="1"/>
    </font>
    <font>
      <b/>
      <sz val="18"/>
      <name val="Times Roman"/>
      <family val="1"/>
    </font>
    <font>
      <b/>
      <i/>
      <sz val="18"/>
      <name val="Times Roman"/>
      <family val="1"/>
    </font>
    <font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2"/>
      <color rgb="FFFF0000"/>
      <name val="Times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2"/>
      <color theme="0"/>
      <name val="Times Roman"/>
      <family val="1"/>
    </font>
    <font>
      <b/>
      <i/>
      <sz val="12"/>
      <color theme="0"/>
      <name val="Times Roman"/>
      <family val="1"/>
    </font>
    <font>
      <b/>
      <sz val="12"/>
      <color indexed="10"/>
      <name val="Times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191">
    <xf numFmtId="0" fontId="0" fillId="0" borderId="0" xfId="0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5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4" fillId="0" borderId="0" xfId="0" applyFont="1" applyBorder="1" applyProtection="1"/>
    <xf numFmtId="0" fontId="6" fillId="0" borderId="10" xfId="0" applyFont="1" applyBorder="1" applyProtection="1"/>
    <xf numFmtId="0" fontId="7" fillId="0" borderId="5" xfId="0" applyFont="1" applyFill="1" applyBorder="1" applyProtection="1"/>
    <xf numFmtId="0" fontId="4" fillId="0" borderId="5" xfId="0" applyFont="1" applyFill="1" applyBorder="1" applyProtection="1"/>
    <xf numFmtId="0" fontId="4" fillId="0" borderId="5" xfId="0" applyFont="1" applyBorder="1" applyProtection="1"/>
    <xf numFmtId="3" fontId="3" fillId="0" borderId="7" xfId="0" applyNumberFormat="1" applyFont="1" applyBorder="1" applyProtection="1"/>
    <xf numFmtId="3" fontId="4" fillId="0" borderId="7" xfId="0" applyNumberFormat="1" applyFont="1" applyBorder="1" applyProtection="1"/>
    <xf numFmtId="0" fontId="4" fillId="0" borderId="7" xfId="0" applyFont="1" applyBorder="1" applyProtection="1"/>
    <xf numFmtId="3" fontId="6" fillId="0" borderId="11" xfId="0" applyNumberFormat="1" applyFont="1" applyBorder="1" applyProtection="1"/>
    <xf numFmtId="0" fontId="4" fillId="0" borderId="3" xfId="0" applyFont="1" applyBorder="1" applyProtection="1"/>
    <xf numFmtId="0" fontId="4" fillId="0" borderId="12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3" fontId="4" fillId="0" borderId="0" xfId="0" applyNumberFormat="1" applyFont="1" applyBorder="1" applyProtection="1"/>
    <xf numFmtId="3" fontId="4" fillId="0" borderId="6" xfId="0" applyNumberFormat="1" applyFont="1" applyBorder="1" applyProtection="1"/>
    <xf numFmtId="3" fontId="4" fillId="0" borderId="10" xfId="0" applyNumberFormat="1" applyFont="1" applyBorder="1" applyProtection="1"/>
    <xf numFmtId="0" fontId="4" fillId="0" borderId="0" xfId="0" applyFont="1" applyProtection="1"/>
    <xf numFmtId="0" fontId="8" fillId="0" borderId="5" xfId="0" applyFont="1" applyFill="1" applyBorder="1" applyProtection="1"/>
    <xf numFmtId="0" fontId="9" fillId="0" borderId="0" xfId="0" applyFont="1" applyFill="1" applyBorder="1" applyProtection="1"/>
    <xf numFmtId="10" fontId="4" fillId="0" borderId="0" xfId="0" applyNumberFormat="1" applyFont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6" fillId="0" borderId="1" xfId="0" applyFont="1" applyBorder="1" applyProtection="1"/>
    <xf numFmtId="0" fontId="6" fillId="0" borderId="3" xfId="0" applyFont="1" applyBorder="1" applyProtection="1"/>
    <xf numFmtId="0" fontId="6" fillId="0" borderId="4" xfId="0" applyFont="1" applyBorder="1" applyProtection="1"/>
    <xf numFmtId="0" fontId="6" fillId="0" borderId="13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6" fillId="0" borderId="8" xfId="0" applyFont="1" applyBorder="1" applyProtection="1"/>
    <xf numFmtId="0" fontId="6" fillId="0" borderId="16" xfId="0" applyFont="1" applyBorder="1" applyProtection="1"/>
    <xf numFmtId="0" fontId="6" fillId="0" borderId="9" xfId="0" applyFont="1" applyBorder="1" applyProtection="1"/>
    <xf numFmtId="0" fontId="6" fillId="0" borderId="5" xfId="0" applyFont="1" applyBorder="1" applyProtection="1"/>
    <xf numFmtId="0" fontId="4" fillId="0" borderId="0" xfId="0" applyFont="1" applyBorder="1" applyAlignment="1" applyProtection="1">
      <alignment horizontal="right"/>
    </xf>
    <xf numFmtId="0" fontId="12" fillId="0" borderId="7" xfId="0" applyFont="1" applyBorder="1" applyProtection="1"/>
    <xf numFmtId="3" fontId="4" fillId="0" borderId="17" xfId="0" applyNumberFormat="1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3" fontId="4" fillId="0" borderId="9" xfId="0" applyNumberFormat="1" applyFont="1" applyBorder="1" applyProtection="1"/>
    <xf numFmtId="3" fontId="6" fillId="0" borderId="4" xfId="0" applyNumberFormat="1" applyFont="1" applyBorder="1" applyProtection="1"/>
    <xf numFmtId="0" fontId="10" fillId="0" borderId="0" xfId="0" applyFont="1" applyBorder="1" applyProtection="1"/>
    <xf numFmtId="10" fontId="6" fillId="0" borderId="7" xfId="0" applyNumberFormat="1" applyFont="1" applyBorder="1" applyProtection="1"/>
    <xf numFmtId="0" fontId="6" fillId="0" borderId="0" xfId="0" applyFont="1" applyBorder="1" applyProtection="1"/>
    <xf numFmtId="9" fontId="6" fillId="0" borderId="7" xfId="0" applyNumberFormat="1" applyFont="1" applyBorder="1" applyProtection="1"/>
    <xf numFmtId="3" fontId="4" fillId="0" borderId="18" xfId="0" applyNumberFormat="1" applyFont="1" applyBorder="1" applyProtection="1"/>
    <xf numFmtId="0" fontId="10" fillId="0" borderId="16" xfId="0" applyFont="1" applyBorder="1" applyProtection="1"/>
    <xf numFmtId="9" fontId="6" fillId="0" borderId="9" xfId="0" applyNumberFormat="1" applyFont="1" applyBorder="1" applyProtection="1"/>
    <xf numFmtId="0" fontId="4" fillId="0" borderId="1" xfId="0" applyFont="1" applyBorder="1" applyProtection="1"/>
    <xf numFmtId="9" fontId="6" fillId="0" borderId="4" xfId="0" applyNumberFormat="1" applyFont="1" applyBorder="1" applyProtection="1"/>
    <xf numFmtId="4" fontId="4" fillId="0" borderId="7" xfId="0" applyNumberFormat="1" applyFont="1" applyBorder="1" applyProtection="1"/>
    <xf numFmtId="0" fontId="4" fillId="0" borderId="9" xfId="0" applyFont="1" applyBorder="1" applyProtection="1"/>
    <xf numFmtId="4" fontId="4" fillId="0" borderId="18" xfId="0" applyNumberFormat="1" applyFont="1" applyBorder="1" applyProtection="1"/>
    <xf numFmtId="4" fontId="4" fillId="0" borderId="9" xfId="0" applyNumberFormat="1" applyFont="1" applyBorder="1" applyProtection="1"/>
    <xf numFmtId="3" fontId="6" fillId="0" borderId="17" xfId="0" applyNumberFormat="1" applyFont="1" applyBorder="1" applyProtection="1"/>
    <xf numFmtId="3" fontId="4" fillId="0" borderId="7" xfId="0" applyNumberFormat="1" applyFont="1" applyFill="1" applyBorder="1" applyProtection="1"/>
    <xf numFmtId="0" fontId="9" fillId="0" borderId="7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4" fillId="0" borderId="5" xfId="0" applyFont="1" applyBorder="1" applyProtection="1"/>
    <xf numFmtId="0" fontId="7" fillId="0" borderId="5" xfId="0" applyFont="1" applyBorder="1" applyProtection="1"/>
    <xf numFmtId="10" fontId="6" fillId="0" borderId="0" xfId="0" applyNumberFormat="1" applyFont="1" applyBorder="1" applyProtection="1"/>
    <xf numFmtId="0" fontId="7" fillId="0" borderId="1" xfId="0" applyFont="1" applyFill="1" applyBorder="1" applyProtection="1"/>
    <xf numFmtId="0" fontId="15" fillId="0" borderId="0" xfId="0" applyFont="1" applyProtection="1"/>
    <xf numFmtId="0" fontId="15" fillId="0" borderId="0" xfId="0" applyFont="1" applyProtection="1">
      <protection locked="0"/>
    </xf>
    <xf numFmtId="0" fontId="15" fillId="0" borderId="3" xfId="0" applyFont="1" applyFill="1" applyBorder="1" applyProtection="1">
      <protection locked="0"/>
    </xf>
    <xf numFmtId="0" fontId="15" fillId="0" borderId="4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7" xfId="0" applyFont="1" applyFill="1" applyBorder="1" applyProtection="1">
      <protection locked="0"/>
    </xf>
    <xf numFmtId="0" fontId="15" fillId="0" borderId="0" xfId="0" applyFont="1" applyFill="1" applyBorder="1" applyProtection="1"/>
    <xf numFmtId="0" fontId="15" fillId="0" borderId="5" xfId="0" applyFont="1" applyFill="1" applyBorder="1" applyProtection="1"/>
    <xf numFmtId="0" fontId="16" fillId="0" borderId="0" xfId="0" applyFont="1" applyFill="1" applyBorder="1" applyProtection="1"/>
    <xf numFmtId="3" fontId="15" fillId="0" borderId="0" xfId="0" applyNumberFormat="1" applyFont="1" applyFill="1" applyBorder="1" applyProtection="1"/>
    <xf numFmtId="0" fontId="15" fillId="0" borderId="16" xfId="0" applyFont="1" applyFill="1" applyBorder="1" applyProtection="1">
      <protection locked="0"/>
    </xf>
    <xf numFmtId="0" fontId="15" fillId="0" borderId="9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right"/>
    </xf>
    <xf numFmtId="3" fontId="15" fillId="0" borderId="7" xfId="0" applyNumberFormat="1" applyFont="1" applyFill="1" applyBorder="1" applyProtection="1"/>
    <xf numFmtId="0" fontId="15" fillId="0" borderId="3" xfId="0" applyFont="1" applyFill="1" applyBorder="1" applyProtection="1"/>
    <xf numFmtId="165" fontId="15" fillId="0" borderId="0" xfId="0" applyNumberFormat="1" applyFont="1" applyFill="1" applyBorder="1" applyProtection="1"/>
    <xf numFmtId="0" fontId="15" fillId="0" borderId="16" xfId="0" applyFont="1" applyFill="1" applyBorder="1" applyProtection="1"/>
    <xf numFmtId="0" fontId="4" fillId="0" borderId="1" xfId="0" applyFont="1" applyBorder="1" applyProtection="1">
      <protection locked="0"/>
    </xf>
    <xf numFmtId="3" fontId="4" fillId="0" borderId="7" xfId="0" applyNumberFormat="1" applyFont="1" applyBorder="1" applyProtection="1">
      <protection locked="0"/>
    </xf>
    <xf numFmtId="0" fontId="4" fillId="0" borderId="18" xfId="0" applyFont="1" applyBorder="1" applyAlignment="1" applyProtection="1">
      <alignment horizontal="center" wrapText="1"/>
    </xf>
    <xf numFmtId="0" fontId="20" fillId="3" borderId="13" xfId="0" applyFont="1" applyFill="1" applyBorder="1" applyProtection="1"/>
    <xf numFmtId="0" fontId="20" fillId="3" borderId="14" xfId="0" applyFont="1" applyFill="1" applyBorder="1" applyProtection="1"/>
    <xf numFmtId="0" fontId="20" fillId="3" borderId="15" xfId="0" applyFont="1" applyFill="1" applyBorder="1" applyProtection="1"/>
    <xf numFmtId="0" fontId="7" fillId="3" borderId="1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3" fontId="7" fillId="3" borderId="7" xfId="0" applyNumberFormat="1" applyFont="1" applyFill="1" applyBorder="1" applyProtection="1">
      <protection locked="0"/>
    </xf>
    <xf numFmtId="0" fontId="4" fillId="3" borderId="14" xfId="0" applyFont="1" applyFill="1" applyBorder="1" applyProtection="1"/>
    <xf numFmtId="0" fontId="4" fillId="3" borderId="15" xfId="0" applyFont="1" applyFill="1" applyBorder="1" applyProtection="1"/>
    <xf numFmtId="0" fontId="7" fillId="0" borderId="8" xfId="0" applyFont="1" applyBorder="1" applyProtection="1"/>
    <xf numFmtId="10" fontId="7" fillId="0" borderId="16" xfId="1" applyNumberFormat="1" applyFont="1" applyBorder="1" applyProtection="1"/>
    <xf numFmtId="0" fontId="19" fillId="2" borderId="0" xfId="0" applyFont="1" applyFill="1" applyBorder="1" applyProtection="1"/>
    <xf numFmtId="0" fontId="22" fillId="2" borderId="0" xfId="0" applyFont="1" applyFill="1" applyBorder="1" applyProtection="1">
      <protection locked="0"/>
    </xf>
    <xf numFmtId="0" fontId="19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19" fillId="2" borderId="7" xfId="0" applyFont="1" applyFill="1" applyBorder="1" applyAlignment="1" applyProtection="1">
      <alignment horizontal="right"/>
    </xf>
    <xf numFmtId="0" fontId="17" fillId="2" borderId="0" xfId="0" applyFont="1" applyFill="1" applyBorder="1" applyProtection="1">
      <protection locked="0"/>
    </xf>
    <xf numFmtId="3" fontId="23" fillId="2" borderId="7" xfId="0" applyNumberFormat="1" applyFont="1" applyFill="1" applyBorder="1" applyProtection="1"/>
    <xf numFmtId="3" fontId="4" fillId="0" borderId="0" xfId="0" applyNumberFormat="1" applyFont="1" applyProtection="1">
      <protection locked="0"/>
    </xf>
    <xf numFmtId="0" fontId="19" fillId="2" borderId="0" xfId="0" applyFont="1" applyFill="1" applyBorder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3" fontId="0" fillId="0" borderId="0" xfId="0" applyNumberFormat="1"/>
    <xf numFmtId="164" fontId="26" fillId="0" borderId="12" xfId="0" applyNumberFormat="1" applyFont="1" applyBorder="1" applyAlignment="1">
      <alignment horizontal="right"/>
    </xf>
    <xf numFmtId="0" fontId="25" fillId="0" borderId="1" xfId="0" applyFont="1" applyBorder="1"/>
    <xf numFmtId="0" fontId="0" fillId="0" borderId="3" xfId="0" applyBorder="1"/>
    <xf numFmtId="0" fontId="0" fillId="0" borderId="4" xfId="0" applyBorder="1"/>
    <xf numFmtId="0" fontId="25" fillId="0" borderId="5" xfId="0" applyFont="1" applyBorder="1"/>
    <xf numFmtId="164" fontId="0" fillId="0" borderId="7" xfId="0" applyNumberFormat="1" applyBorder="1"/>
    <xf numFmtId="0" fontId="0" fillId="0" borderId="7" xfId="0" applyBorder="1"/>
    <xf numFmtId="0" fontId="0" fillId="0" borderId="0" xfId="0" applyBorder="1"/>
    <xf numFmtId="0" fontId="25" fillId="0" borderId="0" xfId="0" applyFont="1" applyBorder="1"/>
    <xf numFmtId="3" fontId="0" fillId="0" borderId="7" xfId="0" applyNumberFormat="1" applyBorder="1"/>
    <xf numFmtId="0" fontId="0" fillId="0" borderId="5" xfId="0" applyBorder="1"/>
    <xf numFmtId="0" fontId="0" fillId="0" borderId="8" xfId="0" applyBorder="1"/>
    <xf numFmtId="0" fontId="0" fillId="0" borderId="16" xfId="0" applyBorder="1"/>
    <xf numFmtId="0" fontId="0" fillId="0" borderId="9" xfId="0" applyBorder="1"/>
    <xf numFmtId="3" fontId="15" fillId="0" borderId="0" xfId="0" applyNumberFormat="1" applyFont="1" applyBorder="1" applyProtection="1"/>
    <xf numFmtId="0" fontId="15" fillId="0" borderId="0" xfId="0" applyFont="1" applyBorder="1" applyProtection="1"/>
    <xf numFmtId="0" fontId="15" fillId="0" borderId="7" xfId="0" applyFont="1" applyBorder="1" applyProtection="1"/>
    <xf numFmtId="10" fontId="15" fillId="0" borderId="0" xfId="0" applyNumberFormat="1" applyFont="1" applyBorder="1" applyProtection="1"/>
    <xf numFmtId="3" fontId="15" fillId="0" borderId="7" xfId="0" applyNumberFormat="1" applyFont="1" applyBorder="1" applyProtection="1"/>
    <xf numFmtId="0" fontId="15" fillId="0" borderId="0" xfId="0" applyFont="1" applyBorder="1" applyAlignment="1" applyProtection="1">
      <alignment horizontal="right"/>
    </xf>
    <xf numFmtId="0" fontId="15" fillId="0" borderId="0" xfId="0" applyFont="1" applyBorder="1" applyProtection="1">
      <protection locked="0"/>
    </xf>
    <xf numFmtId="0" fontId="15" fillId="0" borderId="7" xfId="0" applyFont="1" applyBorder="1" applyProtection="1">
      <protection locked="0"/>
    </xf>
    <xf numFmtId="4" fontId="15" fillId="0" borderId="7" xfId="0" applyNumberFormat="1" applyFont="1" applyBorder="1" applyProtection="1"/>
    <xf numFmtId="0" fontId="16" fillId="0" borderId="0" xfId="0" applyFont="1" applyBorder="1" applyProtection="1"/>
    <xf numFmtId="0" fontId="27" fillId="0" borderId="0" xfId="0" applyFont="1" applyBorder="1" applyProtection="1"/>
    <xf numFmtId="0" fontId="28" fillId="0" borderId="0" xfId="0" applyFont="1" applyBorder="1" applyProtection="1"/>
    <xf numFmtId="10" fontId="28" fillId="0" borderId="0" xfId="1" applyNumberFormat="1" applyFont="1" applyBorder="1" applyProtection="1"/>
    <xf numFmtId="0" fontId="16" fillId="0" borderId="7" xfId="0" applyFont="1" applyBorder="1" applyProtection="1"/>
    <xf numFmtId="0" fontId="26" fillId="0" borderId="12" xfId="0" applyNumberFormat="1" applyFont="1" applyBorder="1" applyAlignment="1">
      <alignment horizontal="right"/>
    </xf>
    <xf numFmtId="0" fontId="17" fillId="0" borderId="5" xfId="0" applyFont="1" applyFill="1" applyBorder="1" applyProtection="1"/>
    <xf numFmtId="0" fontId="18" fillId="0" borderId="0" xfId="0" applyFont="1" applyFill="1" applyBorder="1" applyProtection="1"/>
    <xf numFmtId="3" fontId="17" fillId="0" borderId="7" xfId="2" applyNumberFormat="1" applyFont="1" applyFill="1" applyBorder="1" applyProtection="1"/>
    <xf numFmtId="166" fontId="17" fillId="0" borderId="7" xfId="0" applyNumberFormat="1" applyFont="1" applyFill="1" applyBorder="1" applyProtection="1"/>
    <xf numFmtId="3" fontId="7" fillId="4" borderId="7" xfId="0" applyNumberFormat="1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Protection="1"/>
    <xf numFmtId="3" fontId="17" fillId="4" borderId="7" xfId="0" applyNumberFormat="1" applyFont="1" applyFill="1" applyBorder="1" applyProtection="1"/>
    <xf numFmtId="0" fontId="4" fillId="0" borderId="16" xfId="0" applyFont="1" applyBorder="1" applyProtection="1">
      <protection locked="0"/>
    </xf>
    <xf numFmtId="0" fontId="12" fillId="0" borderId="0" xfId="0" applyFont="1" applyBorder="1" applyProtection="1"/>
    <xf numFmtId="0" fontId="17" fillId="0" borderId="0" xfId="0" applyFont="1" applyBorder="1" applyProtection="1"/>
    <xf numFmtId="0" fontId="25" fillId="0" borderId="0" xfId="0" applyFont="1" applyBorder="1" applyProtection="1"/>
    <xf numFmtId="3" fontId="25" fillId="0" borderId="11" xfId="0" applyNumberFormat="1" applyFont="1" applyBorder="1"/>
    <xf numFmtId="0" fontId="12" fillId="0" borderId="5" xfId="0" applyFont="1" applyBorder="1" applyProtection="1"/>
    <xf numFmtId="3" fontId="29" fillId="0" borderId="7" xfId="0" applyNumberFormat="1" applyFont="1" applyBorder="1" applyProtection="1"/>
    <xf numFmtId="3" fontId="12" fillId="0" borderId="7" xfId="0" applyNumberFormat="1" applyFont="1" applyBorder="1" applyProtection="1"/>
    <xf numFmtId="10" fontId="0" fillId="0" borderId="0" xfId="1" applyNumberFormat="1" applyFont="1"/>
    <xf numFmtId="43" fontId="4" fillId="0" borderId="7" xfId="0" applyNumberFormat="1" applyFont="1" applyBorder="1" applyProtection="1"/>
    <xf numFmtId="0" fontId="0" fillId="0" borderId="0" xfId="0"/>
    <xf numFmtId="0" fontId="4" fillId="0" borderId="0" xfId="0" applyFont="1" applyBorder="1" applyProtection="1"/>
    <xf numFmtId="0" fontId="4" fillId="0" borderId="5" xfId="0" applyFont="1" applyBorder="1" applyProtection="1"/>
    <xf numFmtId="0" fontId="6" fillId="0" borderId="13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6" fillId="0" borderId="8" xfId="0" applyFont="1" applyBorder="1" applyProtection="1"/>
    <xf numFmtId="0" fontId="6" fillId="0" borderId="16" xfId="0" applyFont="1" applyBorder="1" applyProtection="1"/>
    <xf numFmtId="0" fontId="0" fillId="0" borderId="0" xfId="0" applyBorder="1"/>
    <xf numFmtId="43" fontId="4" fillId="0" borderId="18" xfId="0" applyNumberFormat="1" applyFont="1" applyBorder="1" applyProtection="1"/>
    <xf numFmtId="43" fontId="0" fillId="0" borderId="0" xfId="0" applyNumberFormat="1" applyBorder="1"/>
    <xf numFmtId="43" fontId="6" fillId="0" borderId="9" xfId="0" applyNumberFormat="1" applyFont="1" applyBorder="1" applyProtection="1"/>
    <xf numFmtId="0" fontId="30" fillId="0" borderId="0" xfId="0" applyFont="1" applyBorder="1"/>
    <xf numFmtId="43" fontId="25" fillId="0" borderId="0" xfId="0" applyNumberFormat="1" applyFont="1" applyBorder="1"/>
    <xf numFmtId="164" fontId="7" fillId="4" borderId="2" xfId="0" applyNumberFormat="1" applyFont="1" applyFill="1" applyBorder="1" applyAlignment="1" applyProtection="1">
      <alignment horizontal="right"/>
      <protection locked="0"/>
    </xf>
    <xf numFmtId="164" fontId="7" fillId="4" borderId="20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right"/>
      <protection locked="0"/>
    </xf>
    <xf numFmtId="0" fontId="7" fillId="4" borderId="17" xfId="0" applyFont="1" applyFill="1" applyBorder="1" applyAlignment="1" applyProtection="1">
      <alignment horizontal="right"/>
      <protection locked="0"/>
    </xf>
    <xf numFmtId="0" fontId="7" fillId="4" borderId="2" xfId="0" applyNumberFormat="1" applyFont="1" applyFill="1" applyBorder="1" applyAlignment="1" applyProtection="1">
      <alignment horizontal="right"/>
      <protection locked="0"/>
    </xf>
    <xf numFmtId="0" fontId="7" fillId="4" borderId="20" xfId="0" applyNumberFormat="1" applyFont="1" applyFill="1" applyBorder="1" applyAlignment="1" applyProtection="1">
      <alignment horizontal="right"/>
      <protection locked="0"/>
    </xf>
  </cellXfs>
  <cellStyles count="5">
    <cellStyle name="Comma" xfId="2" builtinId="3"/>
    <cellStyle name="Comma 2" xfId="4" xr:uid="{00000000-0005-0000-0000-000001000000}"/>
    <cellStyle name="Normal" xfId="0" builtinId="0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15</xdr:row>
      <xdr:rowOff>19050</xdr:rowOff>
    </xdr:from>
    <xdr:to>
      <xdr:col>3</xdr:col>
      <xdr:colOff>590550</xdr:colOff>
      <xdr:row>16</xdr:row>
      <xdr:rowOff>152400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276975" y="2295525"/>
          <a:ext cx="438150" cy="295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438150</xdr:colOff>
      <xdr:row>11</xdr:row>
      <xdr:rowOff>133350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01740" y="1684020"/>
          <a:ext cx="438150" cy="30099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zoomScale="70" zoomScaleNormal="70" workbookViewId="0">
      <selection activeCell="C17" sqref="C17"/>
    </sheetView>
  </sheetViews>
  <sheetFormatPr defaultColWidth="9.1796875" defaultRowHeight="15.5"/>
  <cols>
    <col min="1" max="1" width="18.1796875" style="3" customWidth="1"/>
    <col min="2" max="2" width="56.1796875" style="3" customWidth="1"/>
    <col min="3" max="3" width="24.1796875" style="3" customWidth="1"/>
    <col min="4" max="4" width="11.7265625" style="3" customWidth="1"/>
    <col min="5" max="5" width="12" style="3" customWidth="1"/>
    <col min="6" max="6" width="12.1796875" style="3" customWidth="1"/>
    <col min="7" max="7" width="1.7265625" style="3" customWidth="1"/>
    <col min="8" max="8" width="12.81640625" style="3" customWidth="1"/>
    <col min="9" max="10" width="11.7265625" style="3" customWidth="1"/>
    <col min="11" max="11" width="2" style="3" customWidth="1"/>
    <col min="12" max="12" width="10.81640625" style="3" bestFit="1" customWidth="1"/>
    <col min="13" max="13" width="11.453125" style="3" customWidth="1"/>
    <col min="14" max="14" width="12" style="3" bestFit="1" customWidth="1"/>
    <col min="15" max="15" width="2.81640625" style="3" customWidth="1"/>
    <col min="16" max="16" width="13.7265625" style="3" customWidth="1"/>
    <col min="17" max="17" width="13.1796875" style="3" bestFit="1" customWidth="1"/>
    <col min="18" max="18" width="26.81640625" style="3" hidden="1" customWidth="1"/>
    <col min="19" max="19" width="11.81640625" style="3" hidden="1" customWidth="1"/>
    <col min="20" max="27" width="0" style="3" hidden="1" customWidth="1"/>
    <col min="28" max="16384" width="9.1796875" style="3"/>
  </cols>
  <sheetData>
    <row r="1" spans="1:28" ht="16" thickBot="1">
      <c r="A1" s="9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28" ht="38.25" customHeight="1" thickBot="1">
      <c r="A2" s="101" t="s">
        <v>98</v>
      </c>
      <c r="B2" s="102"/>
      <c r="C2" s="103"/>
      <c r="D2" s="102"/>
      <c r="E2" s="103"/>
      <c r="F2" s="102"/>
      <c r="G2" s="102"/>
      <c r="H2" s="102"/>
      <c r="I2" s="102"/>
      <c r="J2" s="102"/>
      <c r="K2" s="102"/>
      <c r="L2" s="103"/>
      <c r="M2" s="107"/>
      <c r="N2" s="107"/>
      <c r="O2" s="107"/>
      <c r="P2" s="107"/>
      <c r="Q2" s="108"/>
      <c r="R2" s="24"/>
      <c r="S2" s="33"/>
    </row>
    <row r="3" spans="1:28" ht="16" thickBot="1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1:28">
      <c r="A4" s="104" t="s">
        <v>78</v>
      </c>
      <c r="B4" s="183"/>
      <c r="C4" s="18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28" ht="18.5" thickBot="1">
      <c r="A5" s="105" t="s">
        <v>79</v>
      </c>
      <c r="B5" s="187"/>
      <c r="C5" s="188"/>
      <c r="D5" s="114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5" t="s">
        <v>103</v>
      </c>
      <c r="R5" s="5"/>
    </row>
    <row r="6" spans="1:28" ht="18.75" customHeight="1">
      <c r="A6" s="105" t="s">
        <v>80</v>
      </c>
      <c r="B6" s="183"/>
      <c r="C6" s="184"/>
      <c r="D6" s="114"/>
      <c r="E6" s="111"/>
      <c r="F6" s="113"/>
      <c r="G6" s="111"/>
      <c r="H6" s="111"/>
      <c r="I6" s="111"/>
      <c r="J6" s="111"/>
      <c r="K6" s="111"/>
      <c r="L6" s="114"/>
      <c r="M6" s="116"/>
      <c r="N6" s="113"/>
      <c r="O6" s="113"/>
      <c r="P6" s="119"/>
      <c r="Q6" s="117">
        <f>SUM(Q32-200000)</f>
        <v>-200000</v>
      </c>
      <c r="R6" s="5"/>
      <c r="AB6" s="120">
        <f>IF(Q6&gt;0,"GO TO TAB 2",)</f>
        <v>0</v>
      </c>
    </row>
    <row r="7" spans="1:28" s="10" customFormat="1" ht="7.5" customHeight="1">
      <c r="A7" s="6"/>
      <c r="B7" s="7"/>
      <c r="C7" s="7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</row>
    <row r="8" spans="1:28" ht="16" thickBot="1">
      <c r="A8" s="11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</row>
    <row r="9" spans="1:28" ht="35.25" customHeight="1" thickBot="1">
      <c r="A9" s="156"/>
      <c r="B9" s="16" t="s">
        <v>0</v>
      </c>
      <c r="C9" s="9"/>
      <c r="D9" s="185" t="s">
        <v>1</v>
      </c>
      <c r="E9" s="185"/>
      <c r="F9" s="185"/>
      <c r="G9" s="26"/>
      <c r="H9" s="26"/>
      <c r="I9" s="26"/>
      <c r="J9" s="26"/>
      <c r="K9" s="26"/>
      <c r="L9" s="185" t="s">
        <v>2</v>
      </c>
      <c r="M9" s="185"/>
      <c r="N9" s="185"/>
      <c r="O9" s="26"/>
      <c r="P9" s="185" t="s">
        <v>3</v>
      </c>
      <c r="Q9" s="186"/>
      <c r="R9" s="2"/>
    </row>
    <row r="10" spans="1:28" ht="77.5">
      <c r="A10" s="19"/>
      <c r="B10" s="14"/>
      <c r="C10" s="75" t="s">
        <v>86</v>
      </c>
      <c r="D10" s="27" t="s">
        <v>70</v>
      </c>
      <c r="E10" s="27" t="s">
        <v>71</v>
      </c>
      <c r="F10" s="28" t="s">
        <v>4</v>
      </c>
      <c r="G10" s="29"/>
      <c r="H10" s="27" t="s">
        <v>73</v>
      </c>
      <c r="I10" s="27" t="s">
        <v>74</v>
      </c>
      <c r="J10" s="27" t="s">
        <v>72</v>
      </c>
      <c r="K10" s="29"/>
      <c r="L10" s="28" t="s">
        <v>5</v>
      </c>
      <c r="M10" s="28" t="s">
        <v>6</v>
      </c>
      <c r="N10" s="28" t="s">
        <v>7</v>
      </c>
      <c r="O10" s="29"/>
      <c r="P10" s="27" t="s">
        <v>75</v>
      </c>
      <c r="Q10" s="100" t="s">
        <v>76</v>
      </c>
      <c r="R10" s="5"/>
    </row>
    <row r="11" spans="1:28">
      <c r="A11" s="20"/>
      <c r="B11" s="15"/>
      <c r="C11" s="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4"/>
      <c r="R11" s="5"/>
    </row>
    <row r="12" spans="1:28">
      <c r="A12" s="20" t="s">
        <v>8</v>
      </c>
      <c r="B12" s="16" t="s">
        <v>5</v>
      </c>
      <c r="C12" s="155"/>
      <c r="D12" s="30">
        <f>C12</f>
        <v>0</v>
      </c>
      <c r="E12" s="30"/>
      <c r="F12" s="30"/>
      <c r="G12" s="30"/>
      <c r="H12" s="30">
        <f>IF(Rectory?&lt;&gt;"",$C12,0)</f>
        <v>0</v>
      </c>
      <c r="I12" s="30">
        <f>IF(Rectory?&lt;&gt;"",$C12,0)</f>
        <v>0</v>
      </c>
      <c r="J12" s="30">
        <f t="shared" ref="J12:J18" si="0">$C12</f>
        <v>0</v>
      </c>
      <c r="K12" s="17"/>
      <c r="L12" s="30">
        <f>$C12</f>
        <v>0</v>
      </c>
      <c r="M12" s="30"/>
      <c r="N12" s="30"/>
      <c r="O12" s="30"/>
      <c r="P12" s="30">
        <f>$C12</f>
        <v>0</v>
      </c>
      <c r="Q12" s="23">
        <f>$C12</f>
        <v>0</v>
      </c>
      <c r="R12" s="5"/>
    </row>
    <row r="13" spans="1:28">
      <c r="A13" s="20" t="s">
        <v>9</v>
      </c>
      <c r="B13" s="16" t="s">
        <v>10</v>
      </c>
      <c r="C13" s="155"/>
      <c r="D13" s="30">
        <f>C13</f>
        <v>0</v>
      </c>
      <c r="E13" s="30"/>
      <c r="F13" s="30"/>
      <c r="G13" s="30"/>
      <c r="H13" s="30">
        <f>IF(Rectory?&lt;&gt;"",$C13,0)</f>
        <v>0</v>
      </c>
      <c r="I13" s="30"/>
      <c r="J13" s="30">
        <f t="shared" si="0"/>
        <v>0</v>
      </c>
      <c r="K13" s="17"/>
      <c r="L13" s="30">
        <f>IF(Rectory?&lt;&gt;"",$C13,0)</f>
        <v>0</v>
      </c>
      <c r="M13" s="17"/>
      <c r="N13" s="30">
        <f>IF(Rectory?="",$C13,0)</f>
        <v>0</v>
      </c>
      <c r="O13" s="30"/>
      <c r="P13" s="30"/>
      <c r="Q13" s="23">
        <f>$C13</f>
        <v>0</v>
      </c>
      <c r="R13" s="5"/>
    </row>
    <row r="14" spans="1:28">
      <c r="A14" s="20" t="s">
        <v>11</v>
      </c>
      <c r="B14" s="15" t="s">
        <v>12</v>
      </c>
      <c r="C14" s="23">
        <f>IF(Rectory?&lt;&gt;"",$C$34,0)</f>
        <v>0</v>
      </c>
      <c r="D14" s="17"/>
      <c r="E14" s="30">
        <f>C14</f>
        <v>0</v>
      </c>
      <c r="F14" s="30"/>
      <c r="G14" s="30"/>
      <c r="H14" s="30">
        <f>IF(Rectory?&lt;&gt;"",$C14,0)</f>
        <v>0</v>
      </c>
      <c r="I14" s="30">
        <f>IF(Rectory?&lt;&gt;"",$C14,0)</f>
        <v>0</v>
      </c>
      <c r="J14" s="30">
        <f t="shared" si="0"/>
        <v>0</v>
      </c>
      <c r="K14" s="17"/>
      <c r="L14" s="30"/>
      <c r="M14" s="30"/>
      <c r="N14" s="30">
        <f>$C14</f>
        <v>0</v>
      </c>
      <c r="O14" s="30"/>
      <c r="P14" s="30"/>
      <c r="Q14" s="23">
        <f>$C14</f>
        <v>0</v>
      </c>
      <c r="R14" s="5"/>
    </row>
    <row r="15" spans="1:28">
      <c r="A15" s="21" t="s">
        <v>13</v>
      </c>
      <c r="B15" s="17" t="s">
        <v>14</v>
      </c>
      <c r="C15" s="71">
        <f>I24</f>
        <v>0</v>
      </c>
      <c r="D15" s="30"/>
      <c r="E15" s="30"/>
      <c r="F15" s="30">
        <f>C15</f>
        <v>0</v>
      </c>
      <c r="G15" s="30"/>
      <c r="H15" s="30"/>
      <c r="I15" s="30"/>
      <c r="J15" s="30">
        <f t="shared" si="0"/>
        <v>0</v>
      </c>
      <c r="K15" s="17"/>
      <c r="L15" s="30"/>
      <c r="M15" s="30"/>
      <c r="N15" s="30">
        <f>$C15</f>
        <v>0</v>
      </c>
      <c r="O15" s="30"/>
      <c r="P15" s="30"/>
      <c r="Q15" s="23">
        <f>MIN(I24,H24)</f>
        <v>0</v>
      </c>
      <c r="R15" s="5"/>
    </row>
    <row r="16" spans="1:28">
      <c r="A16" s="21" t="s">
        <v>105</v>
      </c>
      <c r="B16" s="161" t="s">
        <v>104</v>
      </c>
      <c r="C16" s="158">
        <v>0</v>
      </c>
      <c r="D16" s="30"/>
      <c r="E16" s="30">
        <f>C16</f>
        <v>0</v>
      </c>
      <c r="F16" s="30"/>
      <c r="G16" s="30"/>
      <c r="H16" s="30">
        <f t="shared" ref="H16:I18" si="1">IF(Rectory?&lt;&gt;"",$C16,0)</f>
        <v>0</v>
      </c>
      <c r="I16" s="30">
        <f t="shared" si="1"/>
        <v>0</v>
      </c>
      <c r="J16" s="30">
        <f t="shared" si="0"/>
        <v>0</v>
      </c>
      <c r="K16" s="17"/>
      <c r="L16" s="30">
        <f>C16</f>
        <v>0</v>
      </c>
      <c r="M16" s="30"/>
      <c r="N16" s="30"/>
      <c r="O16" s="30"/>
      <c r="P16" s="30">
        <f>C16</f>
        <v>0</v>
      </c>
      <c r="Q16" s="23">
        <f>C16</f>
        <v>0</v>
      </c>
      <c r="R16" s="5"/>
    </row>
    <row r="17" spans="1:36">
      <c r="A17" s="21" t="s">
        <v>15</v>
      </c>
      <c r="B17" s="17" t="s">
        <v>16</v>
      </c>
      <c r="C17" s="22">
        <f>MIN(SE_tax_rate*SE_tax_base,(SE_tax_rate*(1-SE_tax_rate*0.5)*((1+Housing_Value*(Rectory?&lt;&gt;""))*(S+H+U+C16)))/(1-(1+Housing_Value*($A$9&lt;&gt;""))*SE_tax_rate*(1-SE_tax_rate*0.5)))</f>
        <v>0</v>
      </c>
      <c r="D17" s="30">
        <f>C17</f>
        <v>0</v>
      </c>
      <c r="E17" s="30"/>
      <c r="F17" s="30"/>
      <c r="G17" s="30"/>
      <c r="H17" s="30">
        <f t="shared" si="1"/>
        <v>0</v>
      </c>
      <c r="I17" s="30">
        <f t="shared" si="1"/>
        <v>0</v>
      </c>
      <c r="J17" s="30">
        <f t="shared" si="0"/>
        <v>0</v>
      </c>
      <c r="K17" s="17"/>
      <c r="L17" s="17"/>
      <c r="M17" s="30">
        <f>$C17</f>
        <v>0</v>
      </c>
      <c r="N17" s="30"/>
      <c r="O17" s="30"/>
      <c r="P17" s="30">
        <f t="shared" ref="P17:Q18" si="2">$C17</f>
        <v>0</v>
      </c>
      <c r="Q17" s="23">
        <f t="shared" si="2"/>
        <v>0</v>
      </c>
      <c r="R17" s="5"/>
    </row>
    <row r="18" spans="1:36">
      <c r="A18" s="21" t="s">
        <v>17</v>
      </c>
      <c r="B18" s="17" t="s">
        <v>18</v>
      </c>
      <c r="C18" s="22">
        <f>MAX(0,MC_tax_rate*((1-SE_tax_rate*0.5)*((1+Housing_Value*(Rectory?&lt;&gt;""))*(S+H+U+SSR+C16))-SE_tax_base)/(1-MC_tax_rate*(1-SE_tax_rate*0.5)))</f>
        <v>0</v>
      </c>
      <c r="D18" s="30">
        <f>C18</f>
        <v>0</v>
      </c>
      <c r="E18" s="30"/>
      <c r="F18" s="30"/>
      <c r="G18" s="30"/>
      <c r="H18" s="30">
        <f t="shared" si="1"/>
        <v>0</v>
      </c>
      <c r="I18" s="30">
        <f t="shared" si="1"/>
        <v>0</v>
      </c>
      <c r="J18" s="30">
        <f t="shared" si="0"/>
        <v>0</v>
      </c>
      <c r="K18" s="17"/>
      <c r="L18" s="17"/>
      <c r="M18" s="30">
        <f>$C18</f>
        <v>0</v>
      </c>
      <c r="N18" s="30"/>
      <c r="O18" s="30"/>
      <c r="P18" s="30">
        <f t="shared" si="2"/>
        <v>0</v>
      </c>
      <c r="Q18" s="23">
        <f t="shared" si="2"/>
        <v>0</v>
      </c>
      <c r="R18" s="5"/>
    </row>
    <row r="19" spans="1:36">
      <c r="A19" s="21" t="s">
        <v>19</v>
      </c>
      <c r="B19" s="17" t="s">
        <v>20</v>
      </c>
      <c r="C19" s="23">
        <f>J24</f>
        <v>0</v>
      </c>
      <c r="D19" s="17"/>
      <c r="E19" s="30">
        <f>C19</f>
        <v>0</v>
      </c>
      <c r="F19" s="17"/>
      <c r="G19" s="17"/>
      <c r="H19" s="30"/>
      <c r="I19" s="30"/>
      <c r="J19" s="30"/>
      <c r="K19" s="30"/>
      <c r="L19" s="30"/>
      <c r="M19" s="17"/>
      <c r="N19" s="17"/>
      <c r="O19" s="17"/>
      <c r="P19" s="30"/>
      <c r="Q19" s="23"/>
      <c r="R19" s="5"/>
    </row>
    <row r="20" spans="1:36" ht="16" thickBot="1">
      <c r="A20" s="21"/>
      <c r="B20" s="18" t="s">
        <v>23</v>
      </c>
      <c r="C20" s="25">
        <f>SUM(C12:C19)</f>
        <v>0</v>
      </c>
      <c r="D20" s="17"/>
      <c r="E20" s="30"/>
      <c r="F20" s="17"/>
      <c r="G20" s="17"/>
      <c r="H20" s="30"/>
      <c r="I20" s="30"/>
      <c r="J20" s="30"/>
      <c r="K20" s="30"/>
      <c r="L20" s="30"/>
      <c r="M20" s="17"/>
      <c r="N20" s="17"/>
      <c r="O20" s="17"/>
      <c r="P20" s="30"/>
      <c r="Q20" s="23"/>
      <c r="R20" s="5"/>
    </row>
    <row r="21" spans="1:36" ht="16" thickTop="1">
      <c r="A21" s="11"/>
      <c r="B21" s="4"/>
      <c r="C21" s="5"/>
      <c r="D21" s="17"/>
      <c r="E21" s="4"/>
      <c r="F21" s="30"/>
      <c r="G21" s="30"/>
      <c r="H21" s="30"/>
      <c r="I21" s="30"/>
      <c r="J21" s="30"/>
      <c r="K21" s="17"/>
      <c r="L21" s="30"/>
      <c r="M21" s="30"/>
      <c r="N21" s="30"/>
      <c r="O21" s="30"/>
      <c r="P21" s="17"/>
      <c r="Q21" s="23"/>
      <c r="R21" s="5"/>
    </row>
    <row r="22" spans="1:36">
      <c r="A22" s="21" t="s">
        <v>21</v>
      </c>
      <c r="B22" s="17" t="s">
        <v>22</v>
      </c>
      <c r="C22" s="106"/>
      <c r="D22" s="30">
        <f>-C22</f>
        <v>0</v>
      </c>
      <c r="E22" s="30">
        <f>C22</f>
        <v>0</v>
      </c>
      <c r="F22" s="17"/>
      <c r="G22" s="17"/>
      <c r="H22" s="17"/>
      <c r="I22" s="17"/>
      <c r="J22" s="30"/>
      <c r="K22" s="17"/>
      <c r="L22" s="17"/>
      <c r="M22" s="17"/>
      <c r="N22" s="17"/>
      <c r="O22" s="17"/>
      <c r="P22" s="30">
        <f>$D$22</f>
        <v>0</v>
      </c>
      <c r="Q22" s="23"/>
      <c r="R22" s="5"/>
    </row>
    <row r="23" spans="1:36">
      <c r="A23" s="21"/>
      <c r="B23" s="73" t="s">
        <v>84</v>
      </c>
      <c r="C23" s="5"/>
      <c r="D23" s="31">
        <f>SUM(D12:D22)</f>
        <v>0</v>
      </c>
      <c r="E23" s="31">
        <f>SUM(E12:E22)</f>
        <v>0</v>
      </c>
      <c r="F23" s="31">
        <f>SUM(F12:F22)</f>
        <v>0</v>
      </c>
      <c r="G23" s="30"/>
      <c r="H23" s="31">
        <f>SUM(H12:H22)</f>
        <v>0</v>
      </c>
      <c r="I23" s="31">
        <f>SUM(I12:I22)</f>
        <v>0</v>
      </c>
      <c r="J23" s="31">
        <f>SUM(J12:J22)</f>
        <v>0</v>
      </c>
      <c r="K23" s="17"/>
      <c r="L23" s="31">
        <f>SUM(L12:L22)</f>
        <v>0</v>
      </c>
      <c r="M23" s="31">
        <f>SUM(M12:M22)</f>
        <v>0</v>
      </c>
      <c r="N23" s="31">
        <f>SUM(N12:N22)</f>
        <v>0</v>
      </c>
      <c r="O23" s="17"/>
      <c r="P23" s="31">
        <f>SUM(P12:P22)</f>
        <v>0</v>
      </c>
      <c r="Q23" s="52">
        <f>SUM(Q12:Q22)</f>
        <v>0</v>
      </c>
      <c r="R23" s="5"/>
    </row>
    <row r="24" spans="1:36" ht="16" thickBot="1">
      <c r="A24" s="12"/>
      <c r="B24" s="74" t="s">
        <v>85</v>
      </c>
      <c r="C24" s="13"/>
      <c r="D24" s="30"/>
      <c r="E24" s="17"/>
      <c r="F24" s="17"/>
      <c r="G24" s="17"/>
      <c r="H24" s="32">
        <f>H23*Housing_Value</f>
        <v>0</v>
      </c>
      <c r="I24" s="32">
        <f>I23*Housing_Value</f>
        <v>0</v>
      </c>
      <c r="J24" s="32">
        <f>J23*Pension_Rate</f>
        <v>0</v>
      </c>
      <c r="K24" s="17"/>
      <c r="L24" s="17"/>
      <c r="M24" s="17"/>
      <c r="N24" s="17"/>
      <c r="O24" s="17"/>
      <c r="P24" s="17"/>
      <c r="Q24" s="24"/>
      <c r="R24" s="5"/>
      <c r="AH24" s="118"/>
    </row>
    <row r="25" spans="1:36">
      <c r="A25" s="21"/>
      <c r="B25" s="17"/>
      <c r="C25" s="17"/>
      <c r="D25" s="17"/>
      <c r="E25" s="17"/>
      <c r="F25" s="30"/>
      <c r="G25" s="30"/>
      <c r="H25" s="17"/>
      <c r="I25" s="17"/>
      <c r="J25" s="78" t="e">
        <f>SUM(J24)/SUM(C12:C18)</f>
        <v>#DIV/0!</v>
      </c>
      <c r="K25" s="17"/>
      <c r="L25" s="17"/>
      <c r="M25" s="17"/>
      <c r="N25" s="17"/>
      <c r="O25" s="17"/>
      <c r="P25" s="17"/>
      <c r="Q25" s="24"/>
      <c r="R25" s="24"/>
      <c r="S25" s="33"/>
      <c r="AI25" s="118"/>
      <c r="AJ25" s="118"/>
    </row>
    <row r="26" spans="1:36" ht="18">
      <c r="A26" s="34"/>
      <c r="B26" s="35"/>
      <c r="C26" s="35"/>
      <c r="D26" s="15"/>
      <c r="E26" s="15"/>
      <c r="F26" s="30"/>
      <c r="G26" s="30"/>
      <c r="H26" s="30"/>
      <c r="I26" s="30"/>
      <c r="J26" s="17"/>
      <c r="K26" s="17"/>
      <c r="L26" s="17"/>
      <c r="M26" s="17"/>
      <c r="N26" s="17"/>
      <c r="O26" s="17"/>
      <c r="P26" s="17"/>
      <c r="Q26" s="24"/>
      <c r="R26" s="24"/>
      <c r="S26" s="33"/>
    </row>
    <row r="27" spans="1:36" ht="16" thickBot="1">
      <c r="A27" s="21"/>
      <c r="B27" s="17"/>
      <c r="C27" s="17"/>
      <c r="D27" s="17"/>
      <c r="E27" s="17"/>
      <c r="F27" s="30"/>
      <c r="G27" s="17"/>
      <c r="H27" s="17"/>
      <c r="I27" s="36"/>
      <c r="J27" s="17"/>
      <c r="K27" s="17"/>
      <c r="L27" s="30"/>
      <c r="M27" s="17"/>
      <c r="N27" s="17"/>
      <c r="O27" s="17"/>
      <c r="P27" s="17"/>
      <c r="Q27" s="24"/>
      <c r="R27" s="24"/>
      <c r="S27" s="33"/>
      <c r="AH27" s="118"/>
    </row>
    <row r="28" spans="1:36" ht="16" thickBot="1">
      <c r="A28" s="79" t="s">
        <v>87</v>
      </c>
      <c r="B28" s="38"/>
      <c r="C28" s="39"/>
      <c r="D28" s="17"/>
      <c r="E28" s="40" t="s">
        <v>24</v>
      </c>
      <c r="F28" s="41"/>
      <c r="G28" s="41"/>
      <c r="H28" s="41"/>
      <c r="I28" s="41"/>
      <c r="J28" s="42"/>
      <c r="K28" s="17"/>
      <c r="L28" s="17"/>
      <c r="M28" s="43" t="s">
        <v>25</v>
      </c>
      <c r="N28" s="44"/>
      <c r="O28" s="44"/>
      <c r="P28" s="44"/>
      <c r="Q28" s="45"/>
      <c r="R28" s="24"/>
      <c r="S28" s="33"/>
      <c r="AH28" s="118"/>
    </row>
    <row r="29" spans="1:36" ht="16" thickBot="1">
      <c r="A29" s="77" t="s">
        <v>26</v>
      </c>
      <c r="B29" s="17"/>
      <c r="C29" s="155"/>
      <c r="D29" s="17"/>
      <c r="E29" s="46"/>
      <c r="F29" s="47" t="s">
        <v>27</v>
      </c>
      <c r="G29" s="47"/>
      <c r="H29" s="47"/>
      <c r="I29" s="47"/>
      <c r="J29" s="48"/>
      <c r="K29" s="17"/>
      <c r="L29" s="17"/>
      <c r="M29" s="21" t="s">
        <v>28</v>
      </c>
      <c r="N29" s="17"/>
      <c r="O29" s="17"/>
      <c r="P29" s="17"/>
      <c r="Q29" s="23">
        <f>SUM(Q12:Q21)</f>
        <v>0</v>
      </c>
      <c r="R29" s="24"/>
      <c r="S29" s="80"/>
      <c r="T29" s="81"/>
      <c r="U29" s="81"/>
      <c r="V29" s="81"/>
      <c r="W29" s="81"/>
      <c r="X29" s="81"/>
      <c r="Y29" s="81"/>
      <c r="Z29" s="81"/>
      <c r="AA29" s="81"/>
    </row>
    <row r="30" spans="1:36">
      <c r="A30" s="77" t="s">
        <v>29</v>
      </c>
      <c r="B30" s="17"/>
      <c r="C30" s="155"/>
      <c r="D30" s="17"/>
      <c r="E30" s="76" t="s">
        <v>30</v>
      </c>
      <c r="F30" s="17"/>
      <c r="G30" s="17"/>
      <c r="H30" s="17"/>
      <c r="I30" s="17"/>
      <c r="J30" s="24"/>
      <c r="K30" s="17"/>
      <c r="L30" s="17"/>
      <c r="M30" s="21"/>
      <c r="N30" s="17"/>
      <c r="O30" s="17"/>
      <c r="P30" s="50" t="s">
        <v>31</v>
      </c>
      <c r="Q30" s="24"/>
      <c r="R30" s="24"/>
      <c r="S30" s="95"/>
      <c r="T30" s="82"/>
      <c r="U30" s="82"/>
      <c r="V30" s="82"/>
      <c r="W30" s="82"/>
      <c r="X30" s="82"/>
      <c r="Y30" s="82"/>
      <c r="Z30" s="82"/>
      <c r="AA30" s="83"/>
    </row>
    <row r="31" spans="1:36">
      <c r="A31" s="77" t="s">
        <v>32</v>
      </c>
      <c r="B31" s="17"/>
      <c r="C31" s="155"/>
      <c r="D31" s="17"/>
      <c r="E31" s="21" t="s">
        <v>5</v>
      </c>
      <c r="F31" s="17"/>
      <c r="G31" s="17"/>
      <c r="H31" s="17"/>
      <c r="I31" s="17"/>
      <c r="J31" s="23">
        <f>L23</f>
        <v>0</v>
      </c>
      <c r="K31" s="17"/>
      <c r="L31" s="17"/>
      <c r="M31" s="21"/>
      <c r="N31" s="17"/>
      <c r="O31" s="17"/>
      <c r="P31" s="50" t="s">
        <v>91</v>
      </c>
      <c r="Q31" s="23">
        <f>SUM(Q29*SE_tax_rate*0.5)</f>
        <v>0</v>
      </c>
      <c r="R31" s="51"/>
      <c r="S31" s="96"/>
      <c r="T31" s="84" t="s">
        <v>97</v>
      </c>
      <c r="U31" s="84"/>
      <c r="V31" s="84"/>
      <c r="W31" s="85"/>
      <c r="X31" s="85"/>
      <c r="Y31" s="85"/>
      <c r="Z31" s="85"/>
      <c r="AA31" s="86"/>
    </row>
    <row r="32" spans="1:36">
      <c r="A32" s="77" t="s">
        <v>33</v>
      </c>
      <c r="B32" s="17"/>
      <c r="C32" s="155"/>
      <c r="D32" s="17"/>
      <c r="E32" s="21" t="s">
        <v>7</v>
      </c>
      <c r="F32" s="17"/>
      <c r="G32" s="17"/>
      <c r="H32" s="17"/>
      <c r="I32" s="17"/>
      <c r="J32" s="23">
        <f>N23</f>
        <v>0</v>
      </c>
      <c r="K32" s="17"/>
      <c r="L32" s="17"/>
      <c r="M32" s="21"/>
      <c r="N32" s="17"/>
      <c r="O32" s="17"/>
      <c r="P32" s="50" t="s">
        <v>34</v>
      </c>
      <c r="Q32" s="52">
        <f>Q23-Q31</f>
        <v>0</v>
      </c>
      <c r="R32" s="99"/>
      <c r="S32" s="90">
        <f>SUM(Q32-C39)</f>
        <v>-200000</v>
      </c>
      <c r="T32" s="87" t="s">
        <v>94</v>
      </c>
      <c r="U32" s="85"/>
      <c r="V32" s="85"/>
      <c r="W32" s="85"/>
      <c r="X32" s="85"/>
      <c r="Y32" s="85"/>
      <c r="Z32" s="85"/>
      <c r="AA32" s="86"/>
    </row>
    <row r="33" spans="1:30">
      <c r="A33" s="77" t="s">
        <v>81</v>
      </c>
      <c r="B33" s="157"/>
      <c r="C33" s="155"/>
      <c r="D33" s="17"/>
      <c r="E33" s="21" t="s">
        <v>90</v>
      </c>
      <c r="F33" s="17"/>
      <c r="G33" s="17"/>
      <c r="H33" s="17"/>
      <c r="I33" s="17"/>
      <c r="J33" s="23">
        <f>M23*0.5</f>
        <v>0</v>
      </c>
      <c r="K33" s="17"/>
      <c r="L33" s="17"/>
      <c r="M33" s="21"/>
      <c r="N33" s="17"/>
      <c r="O33" s="17"/>
      <c r="P33" s="17"/>
      <c r="Q33" s="24"/>
      <c r="R33" s="5"/>
      <c r="S33" s="87">
        <f>C40*S32</f>
        <v>-1799.9999999999998</v>
      </c>
      <c r="T33" s="89" t="s">
        <v>95</v>
      </c>
      <c r="U33" s="85"/>
      <c r="V33" s="85"/>
      <c r="W33" s="85"/>
      <c r="X33" s="85"/>
      <c r="Y33" s="85"/>
      <c r="Z33" s="85"/>
      <c r="AA33" s="86"/>
    </row>
    <row r="34" spans="1:30" ht="16" thickBot="1">
      <c r="A34" s="53"/>
      <c r="B34" s="54" t="s">
        <v>82</v>
      </c>
      <c r="C34" s="70">
        <f>SUM(C29:C33)</f>
        <v>0</v>
      </c>
      <c r="D34" s="17"/>
      <c r="E34" s="21" t="s">
        <v>104</v>
      </c>
      <c r="F34" s="17"/>
      <c r="G34" s="17"/>
      <c r="H34" s="17"/>
      <c r="I34" s="17"/>
      <c r="J34" s="23">
        <f>C16</f>
        <v>0</v>
      </c>
      <c r="K34" s="17"/>
      <c r="L34" s="17"/>
      <c r="M34" s="21" t="s">
        <v>36</v>
      </c>
      <c r="N34" s="17"/>
      <c r="O34" s="17"/>
      <c r="P34" s="17" t="s">
        <v>37</v>
      </c>
      <c r="Q34" s="22">
        <f>MIN(SE_tax_base,Q32)*SE_tax_rate</f>
        <v>0</v>
      </c>
      <c r="R34" s="5"/>
      <c r="S34" s="87"/>
      <c r="T34" s="87"/>
      <c r="U34" s="85"/>
      <c r="V34" s="85"/>
      <c r="W34" s="85"/>
      <c r="X34" s="85"/>
      <c r="Y34" s="85"/>
      <c r="Z34" s="85"/>
      <c r="AA34" s="86"/>
      <c r="AD34" s="118"/>
    </row>
    <row r="35" spans="1:30" ht="16" thickBot="1">
      <c r="A35" s="37" t="s">
        <v>38</v>
      </c>
      <c r="B35" s="38"/>
      <c r="C35" s="67"/>
      <c r="D35" s="17"/>
      <c r="E35" s="21" t="s">
        <v>35</v>
      </c>
      <c r="F35" s="17"/>
      <c r="G35" s="17"/>
      <c r="H35" s="17"/>
      <c r="I35" s="17"/>
      <c r="J35" s="23">
        <v>0</v>
      </c>
      <c r="K35" s="17"/>
      <c r="L35" s="17"/>
      <c r="M35" s="21"/>
      <c r="N35" s="17"/>
      <c r="O35" s="17"/>
      <c r="P35" s="17" t="s">
        <v>40</v>
      </c>
      <c r="Q35" s="22">
        <f>C18</f>
        <v>0</v>
      </c>
      <c r="R35" s="5"/>
      <c r="S35" s="87"/>
      <c r="T35" s="87"/>
      <c r="U35" s="85"/>
      <c r="V35" s="85"/>
      <c r="W35" s="85"/>
      <c r="X35" s="85"/>
      <c r="Y35" s="85"/>
      <c r="Z35" s="85"/>
      <c r="AA35" s="86"/>
    </row>
    <row r="36" spans="1:30">
      <c r="A36" s="40" t="s">
        <v>41</v>
      </c>
      <c r="B36" s="57" t="s">
        <v>117</v>
      </c>
      <c r="C36" s="56">
        <v>127200</v>
      </c>
      <c r="D36" s="17"/>
      <c r="E36" s="21" t="s">
        <v>39</v>
      </c>
      <c r="F36" s="17"/>
      <c r="G36" s="17"/>
      <c r="H36" s="17"/>
      <c r="I36" s="17"/>
      <c r="J36" s="23">
        <f>(Q23-P23)*FIT_marginal_rate</f>
        <v>0</v>
      </c>
      <c r="K36" s="17"/>
      <c r="L36" s="17"/>
      <c r="M36" s="88"/>
      <c r="N36" s="87"/>
      <c r="O36" s="93" t="s">
        <v>96</v>
      </c>
      <c r="P36" s="87" t="s">
        <v>40</v>
      </c>
      <c r="Q36" s="94">
        <v>0</v>
      </c>
      <c r="R36" s="5"/>
      <c r="S36" s="87"/>
      <c r="T36" s="87"/>
      <c r="U36" s="85"/>
      <c r="V36" s="85"/>
      <c r="W36" s="85"/>
      <c r="X36" s="85"/>
      <c r="Y36" s="85"/>
      <c r="Z36" s="85"/>
      <c r="AA36" s="86"/>
    </row>
    <row r="37" spans="1:30" ht="16" thickBot="1">
      <c r="A37" s="49" t="s">
        <v>44</v>
      </c>
      <c r="B37" s="57"/>
      <c r="C37" s="58">
        <v>0.153</v>
      </c>
      <c r="D37" s="17"/>
      <c r="E37" s="21" t="s">
        <v>42</v>
      </c>
      <c r="F37" s="17"/>
      <c r="G37" s="17"/>
      <c r="H37" s="17"/>
      <c r="I37" s="17"/>
      <c r="J37" s="52">
        <f>SUM(J30:J36)</f>
        <v>0</v>
      </c>
      <c r="K37" s="17"/>
      <c r="L37" s="17"/>
      <c r="M37" s="109" t="s">
        <v>83</v>
      </c>
      <c r="N37" s="110" t="e">
        <f>SUM(Q37/SUM(C12:C16))</f>
        <v>#DIV/0!</v>
      </c>
      <c r="O37" s="54"/>
      <c r="P37" s="54" t="s">
        <v>43</v>
      </c>
      <c r="Q37" s="55">
        <f>SUM(Q34:Q36)</f>
        <v>0</v>
      </c>
      <c r="R37" s="5"/>
      <c r="S37" s="90">
        <f>SUM(C17:C18)</f>
        <v>0</v>
      </c>
      <c r="T37" s="90">
        <f>SUM(Q37-S37)</f>
        <v>0</v>
      </c>
      <c r="U37" s="85"/>
      <c r="V37" s="85"/>
      <c r="W37" s="85"/>
      <c r="X37" s="85"/>
      <c r="Y37" s="85"/>
      <c r="Z37" s="85"/>
      <c r="AA37" s="86"/>
    </row>
    <row r="38" spans="1:30" ht="16" thickBot="1">
      <c r="A38" s="49" t="s">
        <v>46</v>
      </c>
      <c r="B38" s="59"/>
      <c r="C38" s="58">
        <v>2.9000000000000001E-2</v>
      </c>
      <c r="D38" s="17"/>
      <c r="E38" s="21"/>
      <c r="F38" s="17"/>
      <c r="G38" s="17"/>
      <c r="H38" s="17"/>
      <c r="I38" s="17"/>
      <c r="J38" s="24"/>
      <c r="K38" s="17"/>
      <c r="L38" s="17"/>
      <c r="M38" s="4"/>
      <c r="N38" s="4"/>
      <c r="O38" s="4"/>
      <c r="P38" s="4"/>
      <c r="Q38" s="5"/>
      <c r="R38" s="24"/>
      <c r="S38" s="87"/>
      <c r="T38" s="85"/>
      <c r="U38" s="85"/>
      <c r="V38" s="85"/>
      <c r="W38" s="85"/>
      <c r="X38" s="85"/>
      <c r="Y38" s="85"/>
      <c r="Z38" s="85"/>
      <c r="AA38" s="86"/>
    </row>
    <row r="39" spans="1:30" ht="16" thickBot="1">
      <c r="A39" s="151" t="s">
        <v>92</v>
      </c>
      <c r="B39" s="152" t="s">
        <v>106</v>
      </c>
      <c r="C39" s="153">
        <v>200000</v>
      </c>
      <c r="D39" s="17"/>
      <c r="E39" s="76" t="s">
        <v>47</v>
      </c>
      <c r="F39" s="17"/>
      <c r="G39" s="17"/>
      <c r="H39" s="17"/>
      <c r="I39" s="17" t="s">
        <v>48</v>
      </c>
      <c r="J39" s="24"/>
      <c r="K39" s="17"/>
      <c r="L39" s="17"/>
      <c r="M39" s="43" t="s">
        <v>45</v>
      </c>
      <c r="N39" s="44"/>
      <c r="O39" s="44"/>
      <c r="P39" s="44"/>
      <c r="Q39" s="45"/>
      <c r="R39" s="24"/>
      <c r="S39" s="87"/>
      <c r="T39" s="85"/>
      <c r="U39" s="85"/>
      <c r="V39" s="85"/>
      <c r="W39" s="85"/>
      <c r="X39" s="85"/>
      <c r="Y39" s="85"/>
      <c r="Z39" s="85"/>
      <c r="AA39" s="86"/>
    </row>
    <row r="40" spans="1:30" ht="16" thickBot="1">
      <c r="A40" s="151" t="s">
        <v>93</v>
      </c>
      <c r="B40" s="152" t="s">
        <v>106</v>
      </c>
      <c r="C40" s="154">
        <v>8.9999999999999993E-3</v>
      </c>
      <c r="D40" s="17"/>
      <c r="E40" s="76"/>
      <c r="F40" s="17"/>
      <c r="G40" s="17"/>
      <c r="H40" s="17"/>
      <c r="I40" s="17"/>
      <c r="J40" s="24"/>
      <c r="K40" s="17"/>
      <c r="L40" s="17"/>
      <c r="M40" s="21" t="s">
        <v>49</v>
      </c>
      <c r="N40" s="17"/>
      <c r="O40" s="17"/>
      <c r="P40" s="17"/>
      <c r="Q40" s="23">
        <f>Q37</f>
        <v>0</v>
      </c>
      <c r="R40" s="24"/>
      <c r="S40" s="97"/>
      <c r="T40" s="91"/>
      <c r="U40" s="91"/>
      <c r="V40" s="91"/>
      <c r="W40" s="91"/>
      <c r="X40" s="91"/>
      <c r="Y40" s="91"/>
      <c r="Z40" s="91"/>
      <c r="AA40" s="92"/>
    </row>
    <row r="41" spans="1:30">
      <c r="A41" s="49" t="s">
        <v>50</v>
      </c>
      <c r="B41" s="59"/>
      <c r="C41" s="60">
        <v>0.18</v>
      </c>
      <c r="D41" s="17"/>
      <c r="E41" s="21" t="s">
        <v>51</v>
      </c>
      <c r="F41" s="17"/>
      <c r="G41" s="17"/>
      <c r="H41" s="17"/>
      <c r="I41" s="17"/>
      <c r="J41" s="23">
        <v>0</v>
      </c>
      <c r="K41" s="17"/>
      <c r="L41" s="17"/>
      <c r="M41" s="21" t="s">
        <v>52</v>
      </c>
      <c r="N41" s="17"/>
      <c r="O41" s="17"/>
      <c r="P41" s="17"/>
      <c r="Q41" s="61">
        <f>P23*FIT_average_rate</f>
        <v>0</v>
      </c>
      <c r="R41" s="24"/>
      <c r="S41" s="80"/>
      <c r="T41" s="81"/>
      <c r="U41" s="81"/>
      <c r="V41" s="81"/>
      <c r="W41" s="81"/>
      <c r="X41" s="81"/>
      <c r="Y41" s="81"/>
      <c r="Z41" s="81"/>
      <c r="AA41" s="81"/>
    </row>
    <row r="42" spans="1:30" ht="16" thickBot="1">
      <c r="A42" s="46" t="s">
        <v>53</v>
      </c>
      <c r="B42" s="62" t="s">
        <v>77</v>
      </c>
      <c r="C42" s="63">
        <v>0.3</v>
      </c>
      <c r="D42" s="17"/>
      <c r="E42" s="21" t="s">
        <v>54</v>
      </c>
      <c r="F42" s="17"/>
      <c r="G42" s="17"/>
      <c r="H42" s="17"/>
      <c r="I42" s="36" t="e">
        <f>J42/J37</f>
        <v>#DIV/0!</v>
      </c>
      <c r="J42" s="23">
        <f>C19</f>
        <v>0</v>
      </c>
      <c r="K42" s="17"/>
      <c r="L42" s="17"/>
      <c r="M42" s="21" t="s">
        <v>55</v>
      </c>
      <c r="N42" s="17"/>
      <c r="O42" s="17"/>
      <c r="P42" s="17"/>
      <c r="Q42" s="23">
        <f>Q41+Q37</f>
        <v>0</v>
      </c>
      <c r="R42" s="24"/>
      <c r="S42" s="80"/>
      <c r="T42" s="81"/>
      <c r="U42" s="81"/>
      <c r="V42" s="81"/>
      <c r="W42" s="81"/>
      <c r="X42" s="81"/>
      <c r="Y42" s="81"/>
      <c r="Z42" s="81"/>
      <c r="AA42" s="81"/>
    </row>
    <row r="43" spans="1:30" ht="16" thickBot="1">
      <c r="A43" s="64" t="s">
        <v>56</v>
      </c>
      <c r="B43" s="26"/>
      <c r="C43" s="65">
        <v>0.28000000000000003</v>
      </c>
      <c r="D43" s="17"/>
      <c r="E43" s="21" t="s">
        <v>57</v>
      </c>
      <c r="F43" s="17"/>
      <c r="G43" s="17"/>
      <c r="H43" s="17"/>
      <c r="I43" s="17"/>
      <c r="J43" s="23">
        <v>0</v>
      </c>
      <c r="K43" s="17"/>
      <c r="L43" s="17"/>
      <c r="M43" s="43" t="s">
        <v>58</v>
      </c>
      <c r="N43" s="44"/>
      <c r="O43" s="44"/>
      <c r="P43" s="44"/>
      <c r="Q43" s="45"/>
      <c r="R43" s="24"/>
      <c r="S43" s="33"/>
    </row>
    <row r="44" spans="1:30">
      <c r="A44" s="21"/>
      <c r="B44" s="17" t="s">
        <v>59</v>
      </c>
      <c r="C44" s="24"/>
      <c r="D44" s="17"/>
      <c r="E44" s="21" t="s">
        <v>60</v>
      </c>
      <c r="F44" s="17"/>
      <c r="G44" s="17"/>
      <c r="H44" s="17"/>
      <c r="I44" s="17"/>
      <c r="J44" s="23"/>
      <c r="K44" s="17"/>
      <c r="L44" s="17"/>
      <c r="M44" s="21" t="s">
        <v>30</v>
      </c>
      <c r="N44" s="17"/>
      <c r="O44" s="17"/>
      <c r="P44" s="17"/>
      <c r="Q44" s="66">
        <f>D12/12</f>
        <v>0</v>
      </c>
      <c r="R44" s="24"/>
      <c r="S44" s="33"/>
    </row>
    <row r="45" spans="1:30">
      <c r="A45" s="21"/>
      <c r="B45" s="17" t="s">
        <v>61</v>
      </c>
      <c r="C45" s="24"/>
      <c r="D45" s="17"/>
      <c r="E45" s="21" t="s">
        <v>62</v>
      </c>
      <c r="F45" s="17"/>
      <c r="G45" s="17"/>
      <c r="H45" s="17"/>
      <c r="I45" s="17"/>
      <c r="J45" s="23">
        <f>M23*0.5</f>
        <v>0</v>
      </c>
      <c r="K45" s="17"/>
      <c r="L45" s="17"/>
      <c r="M45" s="21" t="s">
        <v>7</v>
      </c>
      <c r="N45" s="17"/>
      <c r="O45" s="17"/>
      <c r="P45" s="17"/>
      <c r="Q45" s="66">
        <f>D13/12</f>
        <v>0</v>
      </c>
      <c r="R45" s="24"/>
      <c r="S45" s="33"/>
    </row>
    <row r="46" spans="1:30">
      <c r="A46" s="21" t="s">
        <v>63</v>
      </c>
      <c r="B46" s="17"/>
      <c r="C46" s="60">
        <v>0.13</v>
      </c>
      <c r="D46" s="17"/>
      <c r="E46" s="21"/>
      <c r="F46" s="17"/>
      <c r="G46" s="17"/>
      <c r="H46" s="17"/>
      <c r="I46" s="36" t="e">
        <f>J46/J37</f>
        <v>#DIV/0!</v>
      </c>
      <c r="J46" s="52">
        <f>SUM(J41:J45)</f>
        <v>0</v>
      </c>
      <c r="K46" s="17"/>
      <c r="L46" s="17"/>
      <c r="M46" s="21" t="s">
        <v>89</v>
      </c>
      <c r="N46" s="17"/>
      <c r="O46" s="17"/>
      <c r="P46" s="17"/>
      <c r="Q46" s="66">
        <f>(C17+C18)/12</f>
        <v>0</v>
      </c>
      <c r="R46" s="24"/>
      <c r="S46" s="33"/>
    </row>
    <row r="47" spans="1:30">
      <c r="A47" s="21"/>
      <c r="B47" s="17" t="s">
        <v>64</v>
      </c>
      <c r="C47" s="24"/>
      <c r="D47" s="17"/>
      <c r="E47" s="21"/>
      <c r="F47" s="17"/>
      <c r="G47" s="17"/>
      <c r="H47" s="17"/>
      <c r="I47" s="17"/>
      <c r="J47" s="24"/>
      <c r="K47" s="17"/>
      <c r="L47" s="17"/>
      <c r="M47" s="21" t="s">
        <v>104</v>
      </c>
      <c r="N47" s="17"/>
      <c r="O47" s="17"/>
      <c r="P47" s="17"/>
      <c r="Q47" s="66">
        <f>C16/12</f>
        <v>0</v>
      </c>
      <c r="R47" s="24"/>
      <c r="S47" s="33"/>
    </row>
    <row r="48" spans="1:30" ht="16" thickBot="1">
      <c r="A48" s="53"/>
      <c r="B48" s="54" t="s">
        <v>65</v>
      </c>
      <c r="C48" s="67"/>
      <c r="D48" s="17"/>
      <c r="E48" s="46" t="s">
        <v>66</v>
      </c>
      <c r="F48" s="54"/>
      <c r="G48" s="54"/>
      <c r="H48" s="54"/>
      <c r="I48" s="54"/>
      <c r="J48" s="55">
        <f>J46+J37</f>
        <v>0</v>
      </c>
      <c r="K48" s="17"/>
      <c r="L48" s="17"/>
      <c r="M48" s="21" t="s">
        <v>67</v>
      </c>
      <c r="N48" s="17"/>
      <c r="O48" s="17"/>
      <c r="P48" s="17"/>
      <c r="Q48" s="66">
        <f>D22/12</f>
        <v>0</v>
      </c>
      <c r="R48" s="24"/>
      <c r="S48" s="33"/>
    </row>
    <row r="49" spans="1:19">
      <c r="A49" s="2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21" t="s">
        <v>88</v>
      </c>
      <c r="N49" s="17"/>
      <c r="O49" s="17"/>
      <c r="P49" s="17"/>
      <c r="Q49" s="66">
        <f>-Q42/12</f>
        <v>0</v>
      </c>
      <c r="R49" s="24"/>
      <c r="S49" s="33"/>
    </row>
    <row r="50" spans="1:19">
      <c r="A50" s="11"/>
      <c r="B50" s="4"/>
      <c r="C50" s="4"/>
      <c r="D50" s="4"/>
      <c r="E50" s="17"/>
      <c r="F50" s="17"/>
      <c r="G50" s="17"/>
      <c r="H50" s="17"/>
      <c r="I50" s="17"/>
      <c r="J50" s="17"/>
      <c r="K50" s="17"/>
      <c r="L50" s="17"/>
      <c r="M50" s="21"/>
      <c r="N50" s="17"/>
      <c r="O50" s="17"/>
      <c r="P50" s="17"/>
      <c r="Q50" s="68"/>
      <c r="R50" s="24"/>
      <c r="S50" s="33"/>
    </row>
    <row r="51" spans="1:19" ht="16" thickBot="1">
      <c r="A51" s="53"/>
      <c r="B51" s="54"/>
      <c r="C51" s="54"/>
      <c r="D51" s="54"/>
      <c r="E51" s="159"/>
      <c r="F51" s="54" t="s">
        <v>69</v>
      </c>
      <c r="G51" s="159"/>
      <c r="H51" s="159"/>
      <c r="I51" s="159"/>
      <c r="J51" s="159"/>
      <c r="K51" s="54"/>
      <c r="L51" s="54"/>
      <c r="M51" s="53" t="s">
        <v>68</v>
      </c>
      <c r="N51" s="54"/>
      <c r="O51" s="54"/>
      <c r="P51" s="54"/>
      <c r="Q51" s="69">
        <f>SUM(Q44:Q50)</f>
        <v>0</v>
      </c>
      <c r="R51" s="67"/>
      <c r="S51" s="33"/>
    </row>
    <row r="52" spans="1:19">
      <c r="A52" s="21"/>
      <c r="B52" s="17"/>
      <c r="C52" s="30"/>
      <c r="D52" s="17"/>
      <c r="E52" s="17"/>
      <c r="F52" s="17"/>
      <c r="G52" s="4"/>
      <c r="H52" s="17"/>
      <c r="I52" s="17"/>
      <c r="J52" s="17"/>
      <c r="K52" s="17"/>
      <c r="L52" s="17"/>
      <c r="Q52" s="4"/>
    </row>
    <row r="53" spans="1:19" s="4" customFormat="1">
      <c r="E53" s="17"/>
      <c r="F53" s="17"/>
      <c r="G53" s="17"/>
      <c r="H53" s="17"/>
      <c r="I53" s="17"/>
      <c r="J53" s="17"/>
      <c r="M53" s="33"/>
      <c r="N53" s="3"/>
      <c r="O53" s="3"/>
      <c r="P53" s="3"/>
      <c r="Q53" s="3"/>
      <c r="R53" s="17"/>
      <c r="S53" s="17"/>
    </row>
    <row r="54" spans="1:19">
      <c r="E54" s="4"/>
      <c r="F54" s="4"/>
      <c r="G54" s="4"/>
      <c r="H54" s="4"/>
      <c r="I54" s="4"/>
      <c r="J54" s="4"/>
      <c r="M54" s="17"/>
      <c r="N54" s="17"/>
      <c r="O54" s="17"/>
      <c r="P54" s="17"/>
      <c r="Q54" s="17"/>
    </row>
  </sheetData>
  <sheetProtection formatCells="0" formatColumns="0" formatRows="0" insertColumns="0" insertRows="0"/>
  <protectedRanges>
    <protectedRange password="CA05" sqref="B33" name="Other Utili"/>
    <protectedRange password="CA05" sqref="C29:C33" name="Utilities Detail"/>
    <protectedRange password="CA05" sqref="C12:C13" name="Compenstion Info"/>
    <protectedRange password="CA05" sqref="B4:C4" name="Name Info"/>
    <protectedRange password="CA05" sqref="A9" name="Rectory"/>
    <protectedRange password="CA05" sqref="C22" name="Tax Annuity"/>
    <protectedRange password="CA05" sqref="B6:C6" name="Name Info_1"/>
    <protectedRange password="CA05" sqref="B5:C5" name="Name Info_4"/>
  </protectedRanges>
  <mergeCells count="6">
    <mergeCell ref="B4:C4"/>
    <mergeCell ref="D9:F9"/>
    <mergeCell ref="L9:N9"/>
    <mergeCell ref="P9:Q9"/>
    <mergeCell ref="B5:C5"/>
    <mergeCell ref="B6:C6"/>
  </mergeCells>
  <phoneticPr fontId="2" type="noConversion"/>
  <printOptions gridLines="1"/>
  <pageMargins left="0.25" right="0.25" top="0.5" bottom="0.5" header="0.25" footer="0.25"/>
  <pageSetup scale="56" orientation="landscape" r:id="rId1"/>
  <headerFooter alignWithMargins="0">
    <oddHeader>&amp;CEpiscopal Diocese of Texas - Clergy Compensation Worksheet for 2017</oddHeader>
    <oddFooter>&amp;C&amp;D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3"/>
  <sheetViews>
    <sheetView zoomScale="70" zoomScaleNormal="70" workbookViewId="0">
      <selection activeCell="B35" sqref="B35"/>
    </sheetView>
  </sheetViews>
  <sheetFormatPr defaultColWidth="9.1796875" defaultRowHeight="15.5"/>
  <cols>
    <col min="1" max="1" width="18.1796875" style="3" customWidth="1"/>
    <col min="2" max="2" width="56.1796875" style="3" customWidth="1"/>
    <col min="3" max="3" width="24.1796875" style="3" customWidth="1"/>
    <col min="4" max="4" width="11.7265625" style="3" customWidth="1"/>
    <col min="5" max="5" width="12" style="3" customWidth="1"/>
    <col min="6" max="6" width="12.1796875" style="3" customWidth="1"/>
    <col min="7" max="7" width="1.7265625" style="3" customWidth="1"/>
    <col min="8" max="8" width="12.81640625" style="3" customWidth="1"/>
    <col min="9" max="10" width="11.7265625" style="3" customWidth="1"/>
    <col min="11" max="11" width="2" style="3" customWidth="1"/>
    <col min="12" max="12" width="10.81640625" style="3" bestFit="1" customWidth="1"/>
    <col min="13" max="13" width="11.453125" style="3" customWidth="1"/>
    <col min="14" max="14" width="12" style="3" bestFit="1" customWidth="1"/>
    <col min="15" max="15" width="2.81640625" style="3" customWidth="1"/>
    <col min="16" max="16" width="13.7265625" style="3" customWidth="1"/>
    <col min="17" max="17" width="13.1796875" style="3" bestFit="1" customWidth="1"/>
    <col min="18" max="18" width="26.81640625" style="3" hidden="1" customWidth="1"/>
    <col min="19" max="19" width="11.81640625" style="3" hidden="1" customWidth="1"/>
    <col min="20" max="27" width="0" style="3" hidden="1" customWidth="1"/>
    <col min="28" max="16384" width="9.1796875" style="3"/>
  </cols>
  <sheetData>
    <row r="1" spans="1:19" ht="16" thickBot="1">
      <c r="A1" s="9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9" ht="38.25" customHeight="1" thickBot="1">
      <c r="A2" s="101" t="s">
        <v>98</v>
      </c>
      <c r="B2" s="102"/>
      <c r="C2" s="103"/>
      <c r="D2" s="102"/>
      <c r="E2" s="103"/>
      <c r="F2" s="102"/>
      <c r="G2" s="102"/>
      <c r="H2" s="102"/>
      <c r="I2" s="102"/>
      <c r="J2" s="102"/>
      <c r="K2" s="102"/>
      <c r="L2" s="103"/>
      <c r="M2" s="107"/>
      <c r="N2" s="107"/>
      <c r="O2" s="107"/>
      <c r="P2" s="107"/>
      <c r="Q2" s="108"/>
      <c r="R2" s="24"/>
      <c r="S2" s="33"/>
    </row>
    <row r="3" spans="1:19" ht="16" thickBot="1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1:19" ht="16" thickBot="1">
      <c r="A4" s="104" t="s">
        <v>78</v>
      </c>
      <c r="B4" s="183">
        <f>'2017'!B4:C4</f>
        <v>0</v>
      </c>
      <c r="C4" s="18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9" ht="18.5" thickBot="1">
      <c r="A5" s="105" t="s">
        <v>79</v>
      </c>
      <c r="B5" s="189">
        <f>'2017'!B5:C5</f>
        <v>0</v>
      </c>
      <c r="C5" s="190"/>
      <c r="D5" s="114"/>
      <c r="E5" s="112"/>
      <c r="F5" s="112"/>
      <c r="G5" s="112"/>
      <c r="H5" s="113" t="s">
        <v>99</v>
      </c>
      <c r="I5" s="112"/>
      <c r="J5" s="112"/>
      <c r="K5" s="112"/>
      <c r="L5" s="112"/>
      <c r="M5" s="112"/>
      <c r="N5" s="112"/>
      <c r="O5" s="112"/>
      <c r="P5" s="112"/>
      <c r="Q5" s="115"/>
      <c r="R5" s="5"/>
    </row>
    <row r="6" spans="1:19" ht="18.75" customHeight="1">
      <c r="A6" s="105" t="s">
        <v>80</v>
      </c>
      <c r="B6" s="189">
        <f>'2017'!B6:C6</f>
        <v>0</v>
      </c>
      <c r="C6" s="190"/>
      <c r="D6" s="114"/>
      <c r="E6" s="111"/>
      <c r="F6" s="113"/>
      <c r="G6" s="111"/>
      <c r="H6" s="111"/>
      <c r="I6" s="111"/>
      <c r="J6" s="111"/>
      <c r="K6" s="111"/>
      <c r="L6" s="114"/>
      <c r="M6" s="116"/>
      <c r="N6" s="113"/>
      <c r="O6" s="113"/>
      <c r="P6" s="119"/>
      <c r="Q6" s="117"/>
      <c r="R6" s="5"/>
    </row>
    <row r="7" spans="1:19" s="10" customFormat="1" ht="7.5" customHeight="1">
      <c r="A7" s="6"/>
      <c r="B7" s="7"/>
      <c r="C7" s="7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</row>
    <row r="8" spans="1:19" ht="16" thickBot="1">
      <c r="A8" s="11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</row>
    <row r="9" spans="1:19" ht="35.25" customHeight="1" thickBot="1">
      <c r="A9" s="156"/>
      <c r="B9" s="16" t="s">
        <v>0</v>
      </c>
      <c r="C9" s="9"/>
      <c r="D9" s="185" t="s">
        <v>1</v>
      </c>
      <c r="E9" s="185"/>
      <c r="F9" s="185"/>
      <c r="G9" s="26"/>
      <c r="H9" s="26"/>
      <c r="I9" s="26"/>
      <c r="J9" s="26"/>
      <c r="K9" s="26"/>
      <c r="L9" s="185" t="s">
        <v>2</v>
      </c>
      <c r="M9" s="185"/>
      <c r="N9" s="185"/>
      <c r="O9" s="26"/>
      <c r="P9" s="185" t="s">
        <v>3</v>
      </c>
      <c r="Q9" s="186"/>
      <c r="R9" s="2"/>
    </row>
    <row r="10" spans="1:19" ht="77.5">
      <c r="A10" s="19"/>
      <c r="B10" s="14"/>
      <c r="C10" s="75" t="s">
        <v>86</v>
      </c>
      <c r="D10" s="27" t="s">
        <v>70</v>
      </c>
      <c r="E10" s="27" t="s">
        <v>71</v>
      </c>
      <c r="F10" s="28" t="s">
        <v>4</v>
      </c>
      <c r="G10" s="29"/>
      <c r="H10" s="27" t="s">
        <v>73</v>
      </c>
      <c r="I10" s="27" t="s">
        <v>74</v>
      </c>
      <c r="J10" s="27" t="s">
        <v>72</v>
      </c>
      <c r="K10" s="29"/>
      <c r="L10" s="28" t="s">
        <v>5</v>
      </c>
      <c r="M10" s="28" t="s">
        <v>6</v>
      </c>
      <c r="N10" s="28" t="s">
        <v>7</v>
      </c>
      <c r="O10" s="29"/>
      <c r="P10" s="27" t="s">
        <v>75</v>
      </c>
      <c r="Q10" s="100" t="s">
        <v>76</v>
      </c>
      <c r="R10" s="5"/>
    </row>
    <row r="11" spans="1:19">
      <c r="A11" s="20"/>
      <c r="B11" s="15"/>
      <c r="C11" s="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4"/>
      <c r="R11" s="5"/>
    </row>
    <row r="12" spans="1:19">
      <c r="A12" s="20" t="s">
        <v>8</v>
      </c>
      <c r="B12" s="16" t="s">
        <v>5</v>
      </c>
      <c r="C12" s="155">
        <f>'2017'!Q6</f>
        <v>-200000</v>
      </c>
      <c r="D12" s="30">
        <f>C12</f>
        <v>-200000</v>
      </c>
      <c r="E12" s="30"/>
      <c r="F12" s="30"/>
      <c r="G12" s="30"/>
      <c r="H12" s="30">
        <f>IF(Rectory?&lt;&gt;"",$C12,0)</f>
        <v>0</v>
      </c>
      <c r="I12" s="30">
        <f>IF(Rectory?&lt;&gt;"",$C12,0)</f>
        <v>0</v>
      </c>
      <c r="J12" s="30">
        <f t="shared" ref="J12:J18" si="0">$C12</f>
        <v>-200000</v>
      </c>
      <c r="K12" s="17"/>
      <c r="L12" s="30">
        <f>$C12</f>
        <v>-200000</v>
      </c>
      <c r="M12" s="30"/>
      <c r="N12" s="30"/>
      <c r="O12" s="30"/>
      <c r="P12" s="30">
        <f>$C12</f>
        <v>-200000</v>
      </c>
      <c r="Q12" s="23">
        <f>$C12</f>
        <v>-200000</v>
      </c>
      <c r="R12" s="5"/>
    </row>
    <row r="13" spans="1:19">
      <c r="A13" s="20" t="s">
        <v>9</v>
      </c>
      <c r="B13" s="16" t="s">
        <v>10</v>
      </c>
      <c r="C13" s="155"/>
      <c r="D13" s="30">
        <f>C13</f>
        <v>0</v>
      </c>
      <c r="E13" s="30"/>
      <c r="F13" s="30"/>
      <c r="G13" s="30"/>
      <c r="H13" s="30">
        <f>IF(Rectory?&lt;&gt;"",$C13,0)</f>
        <v>0</v>
      </c>
      <c r="I13" s="30"/>
      <c r="J13" s="30">
        <f t="shared" si="0"/>
        <v>0</v>
      </c>
      <c r="K13" s="17"/>
      <c r="L13" s="30">
        <f>IF(Rectory?&lt;&gt;"",$C13,0)</f>
        <v>0</v>
      </c>
      <c r="M13" s="17"/>
      <c r="N13" s="30">
        <f>IF(Rectory?="",$C13,0)</f>
        <v>0</v>
      </c>
      <c r="O13" s="30"/>
      <c r="P13" s="30"/>
      <c r="Q13" s="23">
        <f>$C13</f>
        <v>0</v>
      </c>
      <c r="R13" s="5"/>
    </row>
    <row r="14" spans="1:19">
      <c r="A14" s="20" t="s">
        <v>11</v>
      </c>
      <c r="B14" s="15" t="s">
        <v>12</v>
      </c>
      <c r="C14" s="23">
        <f>IF(Rectory?&lt;&gt;"",$C$34,0)</f>
        <v>0</v>
      </c>
      <c r="D14" s="17"/>
      <c r="E14" s="30">
        <f>C14</f>
        <v>0</v>
      </c>
      <c r="F14" s="30"/>
      <c r="G14" s="30"/>
      <c r="H14" s="30">
        <f>IF(Rectory?&lt;&gt;"",$C14,0)</f>
        <v>0</v>
      </c>
      <c r="I14" s="30">
        <f>IF(Rectory?&lt;&gt;"",$C14,0)</f>
        <v>0</v>
      </c>
      <c r="J14" s="30">
        <f t="shared" si="0"/>
        <v>0</v>
      </c>
      <c r="K14" s="17"/>
      <c r="L14" s="30"/>
      <c r="M14" s="30"/>
      <c r="N14" s="30">
        <f>$C14</f>
        <v>0</v>
      </c>
      <c r="O14" s="30"/>
      <c r="P14" s="30"/>
      <c r="Q14" s="23">
        <f>$C14</f>
        <v>0</v>
      </c>
      <c r="R14" s="5"/>
    </row>
    <row r="15" spans="1:19">
      <c r="A15" s="21" t="s">
        <v>13</v>
      </c>
      <c r="B15" s="17" t="s">
        <v>14</v>
      </c>
      <c r="C15" s="71">
        <f>I24</f>
        <v>0</v>
      </c>
      <c r="D15" s="30"/>
      <c r="E15" s="30"/>
      <c r="F15" s="30">
        <f>C15</f>
        <v>0</v>
      </c>
      <c r="G15" s="30"/>
      <c r="H15" s="30"/>
      <c r="I15" s="30"/>
      <c r="J15" s="30">
        <f t="shared" si="0"/>
        <v>0</v>
      </c>
      <c r="K15" s="17"/>
      <c r="L15" s="30"/>
      <c r="M15" s="30"/>
      <c r="N15" s="30">
        <f>$C15</f>
        <v>0</v>
      </c>
      <c r="O15" s="30"/>
      <c r="P15" s="30"/>
      <c r="Q15" s="23">
        <f>MIN(I24,H24)</f>
        <v>0</v>
      </c>
      <c r="R15" s="5"/>
    </row>
    <row r="16" spans="1:19">
      <c r="A16" s="21" t="s">
        <v>105</v>
      </c>
      <c r="B16" s="161" t="s">
        <v>104</v>
      </c>
      <c r="C16" s="158">
        <v>0</v>
      </c>
      <c r="D16" s="30"/>
      <c r="E16" s="30">
        <f>C16</f>
        <v>0</v>
      </c>
      <c r="F16" s="30"/>
      <c r="G16" s="30"/>
      <c r="H16" s="30">
        <f>C16</f>
        <v>0</v>
      </c>
      <c r="I16" s="30">
        <f>C16</f>
        <v>0</v>
      </c>
      <c r="J16" s="30">
        <f>C16</f>
        <v>0</v>
      </c>
      <c r="K16" s="17"/>
      <c r="L16" s="30">
        <f>C16</f>
        <v>0</v>
      </c>
      <c r="M16" s="30"/>
      <c r="N16" s="30"/>
      <c r="O16" s="30"/>
      <c r="P16" s="30">
        <f>C16</f>
        <v>0</v>
      </c>
      <c r="Q16" s="23">
        <f>C16</f>
        <v>0</v>
      </c>
      <c r="R16" s="5"/>
    </row>
    <row r="17" spans="1:36">
      <c r="A17" s="21" t="s">
        <v>15</v>
      </c>
      <c r="B17" s="17" t="s">
        <v>16</v>
      </c>
      <c r="C17" s="22">
        <v>0</v>
      </c>
      <c r="D17" s="30">
        <f>C17</f>
        <v>0</v>
      </c>
      <c r="E17" s="30"/>
      <c r="F17" s="30"/>
      <c r="G17" s="30"/>
      <c r="H17" s="30">
        <f t="shared" ref="H17:I18" si="1">IF(Rectory?&lt;&gt;"",$C17,0)</f>
        <v>0</v>
      </c>
      <c r="I17" s="30">
        <f t="shared" si="1"/>
        <v>0</v>
      </c>
      <c r="J17" s="30">
        <f t="shared" si="0"/>
        <v>0</v>
      </c>
      <c r="K17" s="17"/>
      <c r="L17" s="17"/>
      <c r="M17" s="30">
        <f>$C17</f>
        <v>0</v>
      </c>
      <c r="N17" s="30"/>
      <c r="O17" s="30"/>
      <c r="P17" s="30">
        <f t="shared" ref="P17:Q18" si="2">$C17</f>
        <v>0</v>
      </c>
      <c r="Q17" s="23">
        <f t="shared" si="2"/>
        <v>0</v>
      </c>
      <c r="R17" s="5"/>
    </row>
    <row r="18" spans="1:36">
      <c r="A18" s="164" t="s">
        <v>17</v>
      </c>
      <c r="B18" s="160" t="s">
        <v>100</v>
      </c>
      <c r="C18" s="165">
        <f>S*C40</f>
        <v>-1799.9999999999998</v>
      </c>
      <c r="D18" s="30">
        <f>C18</f>
        <v>-1799.9999999999998</v>
      </c>
      <c r="E18" s="30"/>
      <c r="F18" s="30"/>
      <c r="G18" s="30"/>
      <c r="H18" s="30">
        <f t="shared" si="1"/>
        <v>0</v>
      </c>
      <c r="I18" s="30">
        <f t="shared" si="1"/>
        <v>0</v>
      </c>
      <c r="J18" s="30">
        <f t="shared" si="0"/>
        <v>-1799.9999999999998</v>
      </c>
      <c r="K18" s="17"/>
      <c r="L18" s="17"/>
      <c r="M18" s="30">
        <f>$C18</f>
        <v>-1799.9999999999998</v>
      </c>
      <c r="N18" s="30"/>
      <c r="O18" s="30"/>
      <c r="P18" s="30">
        <f t="shared" si="2"/>
        <v>-1799.9999999999998</v>
      </c>
      <c r="Q18" s="23">
        <f t="shared" si="2"/>
        <v>-1799.9999999999998</v>
      </c>
      <c r="R18" s="5"/>
    </row>
    <row r="19" spans="1:36">
      <c r="A19" s="164" t="s">
        <v>19</v>
      </c>
      <c r="B19" s="160" t="s">
        <v>20</v>
      </c>
      <c r="C19" s="166">
        <f>J24</f>
        <v>-323.99999999999994</v>
      </c>
      <c r="D19" s="17"/>
      <c r="E19" s="30">
        <f>C19</f>
        <v>-323.99999999999994</v>
      </c>
      <c r="F19" s="17"/>
      <c r="G19" s="17"/>
      <c r="H19" s="30"/>
      <c r="I19" s="30"/>
      <c r="J19" s="30"/>
      <c r="K19" s="30"/>
      <c r="L19" s="30"/>
      <c r="M19" s="17"/>
      <c r="N19" s="17"/>
      <c r="O19" s="17"/>
      <c r="P19" s="30"/>
      <c r="Q19" s="23"/>
      <c r="R19" s="5"/>
    </row>
    <row r="20" spans="1:36" ht="16" thickBot="1">
      <c r="A20" s="21"/>
      <c r="B20" s="18" t="s">
        <v>23</v>
      </c>
      <c r="C20" s="25">
        <f>SUM(C18:C19)</f>
        <v>-2123.9999999999995</v>
      </c>
      <c r="D20" s="17"/>
      <c r="E20" s="30"/>
      <c r="F20" s="17"/>
      <c r="G20" s="17"/>
      <c r="H20" s="30"/>
      <c r="I20" s="30"/>
      <c r="J20" s="30"/>
      <c r="K20" s="30"/>
      <c r="L20" s="30"/>
      <c r="M20" s="17"/>
      <c r="N20" s="17"/>
      <c r="O20" s="17"/>
      <c r="P20" s="30"/>
      <c r="Q20" s="23"/>
      <c r="R20" s="5"/>
    </row>
    <row r="21" spans="1:36" ht="16" thickTop="1">
      <c r="A21" s="11"/>
      <c r="B21" s="4"/>
      <c r="C21" s="5"/>
      <c r="D21" s="17"/>
      <c r="E21" s="4"/>
      <c r="F21" s="30"/>
      <c r="G21" s="30"/>
      <c r="H21" s="30"/>
      <c r="I21" s="30"/>
      <c r="J21" s="30"/>
      <c r="K21" s="17"/>
      <c r="L21" s="30"/>
      <c r="M21" s="30"/>
      <c r="N21" s="30"/>
      <c r="O21" s="30"/>
      <c r="P21" s="17"/>
      <c r="Q21" s="23"/>
      <c r="R21" s="5"/>
    </row>
    <row r="22" spans="1:36">
      <c r="A22" s="21" t="s">
        <v>21</v>
      </c>
      <c r="B22" s="17" t="s">
        <v>22</v>
      </c>
      <c r="C22" s="106"/>
      <c r="D22" s="30">
        <f>-C22</f>
        <v>0</v>
      </c>
      <c r="E22" s="30">
        <f>C22</f>
        <v>0</v>
      </c>
      <c r="F22" s="17"/>
      <c r="G22" s="17"/>
      <c r="H22" s="17"/>
      <c r="I22" s="17"/>
      <c r="J22" s="30"/>
      <c r="K22" s="17"/>
      <c r="L22" s="17"/>
      <c r="M22" s="17"/>
      <c r="N22" s="17"/>
      <c r="O22" s="17"/>
      <c r="P22" s="30">
        <f>$D$22</f>
        <v>0</v>
      </c>
      <c r="Q22" s="23"/>
      <c r="R22" s="5"/>
    </row>
    <row r="23" spans="1:36">
      <c r="A23" s="21"/>
      <c r="B23" s="73" t="s">
        <v>84</v>
      </c>
      <c r="C23" s="5"/>
      <c r="D23" s="31">
        <f>SUM(D18:D22)</f>
        <v>-1799.9999999999998</v>
      </c>
      <c r="E23" s="31">
        <f t="shared" ref="E23:F23" si="3">SUM(E18:E22)</f>
        <v>-323.99999999999994</v>
      </c>
      <c r="F23" s="31">
        <f t="shared" si="3"/>
        <v>0</v>
      </c>
      <c r="G23" s="30"/>
      <c r="H23" s="31">
        <f t="shared" ref="H23:J23" si="4">SUM(H18:H22)</f>
        <v>0</v>
      </c>
      <c r="I23" s="31">
        <f t="shared" si="4"/>
        <v>0</v>
      </c>
      <c r="J23" s="31">
        <f t="shared" si="4"/>
        <v>-1799.9999999999998</v>
      </c>
      <c r="K23" s="17"/>
      <c r="L23" s="31">
        <f t="shared" ref="L23:N23" si="5">SUM(L18:L22)</f>
        <v>0</v>
      </c>
      <c r="M23" s="31">
        <f t="shared" si="5"/>
        <v>-1799.9999999999998</v>
      </c>
      <c r="N23" s="31">
        <f t="shared" si="5"/>
        <v>0</v>
      </c>
      <c r="O23" s="17"/>
      <c r="P23" s="31">
        <f t="shared" ref="P23:Q23" si="6">SUM(P18:P22)</f>
        <v>-1799.9999999999998</v>
      </c>
      <c r="Q23" s="31">
        <f t="shared" si="6"/>
        <v>-1799.9999999999998</v>
      </c>
      <c r="R23" s="5"/>
    </row>
    <row r="24" spans="1:36" ht="16" thickBot="1">
      <c r="A24" s="12"/>
      <c r="B24" s="74" t="s">
        <v>85</v>
      </c>
      <c r="C24" s="13"/>
      <c r="D24" s="30"/>
      <c r="E24" s="17"/>
      <c r="F24" s="17"/>
      <c r="G24" s="17"/>
      <c r="H24" s="32">
        <f>H23*Housing_Value</f>
        <v>0</v>
      </c>
      <c r="I24" s="32">
        <f>I23*Housing_Value</f>
        <v>0</v>
      </c>
      <c r="J24" s="32">
        <f>J18*Pension_Rate</f>
        <v>-323.99999999999994</v>
      </c>
      <c r="K24" s="17"/>
      <c r="L24" s="17"/>
      <c r="M24" s="17"/>
      <c r="N24" s="17"/>
      <c r="O24" s="17"/>
      <c r="P24" s="17"/>
      <c r="Q24" s="24"/>
      <c r="R24" s="5"/>
      <c r="AH24" s="118"/>
    </row>
    <row r="25" spans="1:36">
      <c r="A25" s="21"/>
      <c r="B25" s="17"/>
      <c r="C25" s="17"/>
      <c r="D25" s="17"/>
      <c r="E25" s="17"/>
      <c r="F25" s="30"/>
      <c r="G25" s="30"/>
      <c r="H25" s="17"/>
      <c r="I25" s="17"/>
      <c r="J25" s="78">
        <f>SUM(J24/C18)</f>
        <v>0.18</v>
      </c>
      <c r="K25" s="17"/>
      <c r="L25" s="17"/>
      <c r="M25" s="17"/>
      <c r="N25" s="17"/>
      <c r="O25" s="17"/>
      <c r="P25" s="17"/>
      <c r="Q25" s="24"/>
      <c r="R25" s="24"/>
      <c r="S25" s="33"/>
      <c r="AI25" s="118"/>
      <c r="AJ25" s="118"/>
    </row>
    <row r="26" spans="1:36" ht="18">
      <c r="A26" s="34"/>
      <c r="B26" s="35"/>
      <c r="C26" s="35"/>
      <c r="D26" s="87"/>
      <c r="E26" s="87"/>
      <c r="F26" s="136"/>
      <c r="G26" s="136"/>
      <c r="H26" s="136"/>
      <c r="I26" s="136"/>
      <c r="J26" s="137"/>
      <c r="K26" s="137"/>
      <c r="L26" s="137"/>
      <c r="M26" s="137"/>
      <c r="N26" s="137"/>
      <c r="O26" s="137"/>
      <c r="P26" s="137"/>
      <c r="Q26" s="138"/>
      <c r="R26" s="24"/>
      <c r="S26" s="33"/>
    </row>
    <row r="27" spans="1:36" ht="16" thickBot="1">
      <c r="A27" s="21"/>
      <c r="B27" s="17"/>
      <c r="C27" s="17"/>
      <c r="D27" s="137"/>
      <c r="E27" s="137"/>
      <c r="F27" s="136"/>
      <c r="G27" s="137"/>
      <c r="H27" s="137"/>
      <c r="I27" s="139"/>
      <c r="J27" s="137"/>
      <c r="K27" s="137"/>
      <c r="L27" s="136"/>
      <c r="M27" s="137"/>
      <c r="N27" s="137"/>
      <c r="O27" s="137"/>
      <c r="P27" s="137"/>
      <c r="Q27" s="138"/>
      <c r="R27" s="24"/>
      <c r="S27" s="33"/>
      <c r="AH27" s="118"/>
    </row>
    <row r="28" spans="1:36" ht="16" thickBot="1">
      <c r="A28" s="79" t="s">
        <v>87</v>
      </c>
      <c r="B28" s="38"/>
      <c r="C28" s="39"/>
      <c r="D28" s="137"/>
      <c r="E28" s="145" t="s">
        <v>24</v>
      </c>
      <c r="F28" s="145"/>
      <c r="G28" s="145"/>
      <c r="H28" s="145"/>
      <c r="I28" s="145"/>
      <c r="J28" s="145"/>
      <c r="K28" s="137"/>
      <c r="L28" s="137"/>
      <c r="M28" s="145" t="s">
        <v>25</v>
      </c>
      <c r="N28" s="145"/>
      <c r="O28" s="145"/>
      <c r="P28" s="145"/>
      <c r="Q28" s="149"/>
      <c r="R28" s="24"/>
      <c r="S28" s="33"/>
      <c r="AH28" s="118"/>
    </row>
    <row r="29" spans="1:36" ht="16" thickBot="1">
      <c r="A29" s="77" t="s">
        <v>26</v>
      </c>
      <c r="B29" s="17"/>
      <c r="C29" s="155"/>
      <c r="D29" s="137"/>
      <c r="E29" s="145"/>
      <c r="F29" s="145" t="s">
        <v>27</v>
      </c>
      <c r="G29" s="145"/>
      <c r="H29" s="145"/>
      <c r="I29" s="145"/>
      <c r="J29" s="145"/>
      <c r="K29" s="137"/>
      <c r="L29" s="137"/>
      <c r="M29" s="137" t="s">
        <v>28</v>
      </c>
      <c r="N29" s="137"/>
      <c r="O29" s="137"/>
      <c r="P29" s="137"/>
      <c r="Q29" s="140">
        <f>SUM(Q12:Q21)</f>
        <v>-201800</v>
      </c>
      <c r="R29" s="24"/>
      <c r="S29" s="80"/>
      <c r="T29" s="81"/>
      <c r="U29" s="81"/>
      <c r="V29" s="81"/>
      <c r="W29" s="81"/>
      <c r="X29" s="81"/>
      <c r="Y29" s="81"/>
      <c r="Z29" s="81"/>
      <c r="AA29" s="81"/>
    </row>
    <row r="30" spans="1:36">
      <c r="A30" s="77" t="s">
        <v>29</v>
      </c>
      <c r="B30" s="17"/>
      <c r="C30" s="155"/>
      <c r="D30" s="137"/>
      <c r="E30" s="146" t="s">
        <v>30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41" t="s">
        <v>31</v>
      </c>
      <c r="Q30" s="138"/>
      <c r="R30" s="24"/>
      <c r="S30" s="95"/>
      <c r="T30" s="82"/>
      <c r="U30" s="82"/>
      <c r="V30" s="82"/>
      <c r="W30" s="82"/>
      <c r="X30" s="82"/>
      <c r="Y30" s="82"/>
      <c r="Z30" s="82"/>
      <c r="AA30" s="83"/>
    </row>
    <row r="31" spans="1:36">
      <c r="A31" s="77" t="s">
        <v>32</v>
      </c>
      <c r="B31" s="17"/>
      <c r="C31" s="155"/>
      <c r="D31" s="137"/>
      <c r="E31" s="137" t="s">
        <v>5</v>
      </c>
      <c r="F31" s="137"/>
      <c r="G31" s="137"/>
      <c r="H31" s="137"/>
      <c r="I31" s="137"/>
      <c r="J31" s="136">
        <f>L23</f>
        <v>0</v>
      </c>
      <c r="K31" s="137"/>
      <c r="L31" s="137"/>
      <c r="M31" s="137"/>
      <c r="N31" s="137"/>
      <c r="O31" s="137"/>
      <c r="P31" s="141" t="s">
        <v>91</v>
      </c>
      <c r="Q31" s="140">
        <f>SUM(Q29*SE_tax_rate*0.5)</f>
        <v>-15437.699999999999</v>
      </c>
      <c r="R31" s="51"/>
      <c r="S31" s="96"/>
      <c r="T31" s="84" t="s">
        <v>97</v>
      </c>
      <c r="U31" s="84"/>
      <c r="V31" s="84"/>
      <c r="W31" s="85"/>
      <c r="X31" s="85"/>
      <c r="Y31" s="85"/>
      <c r="Z31" s="85"/>
      <c r="AA31" s="86"/>
    </row>
    <row r="32" spans="1:36">
      <c r="A32" s="77" t="s">
        <v>33</v>
      </c>
      <c r="B32" s="17"/>
      <c r="C32" s="155"/>
      <c r="D32" s="137"/>
      <c r="E32" s="137" t="s">
        <v>7</v>
      </c>
      <c r="F32" s="137"/>
      <c r="G32" s="137"/>
      <c r="H32" s="137"/>
      <c r="I32" s="137"/>
      <c r="J32" s="136">
        <f>N23</f>
        <v>0</v>
      </c>
      <c r="K32" s="137"/>
      <c r="L32" s="137"/>
      <c r="M32" s="137"/>
      <c r="N32" s="137"/>
      <c r="O32" s="137"/>
      <c r="P32" s="141" t="s">
        <v>34</v>
      </c>
      <c r="Q32" s="140">
        <f>Q23-Q31</f>
        <v>13637.699999999999</v>
      </c>
      <c r="R32" s="99"/>
      <c r="S32" s="90">
        <f>SUM(Q32-C39)</f>
        <v>-186362.3</v>
      </c>
      <c r="T32" s="87" t="s">
        <v>94</v>
      </c>
      <c r="U32" s="85"/>
      <c r="V32" s="85"/>
      <c r="W32" s="85"/>
      <c r="X32" s="85"/>
      <c r="Y32" s="85"/>
      <c r="Z32" s="85"/>
      <c r="AA32" s="86"/>
    </row>
    <row r="33" spans="1:27">
      <c r="A33" s="77" t="s">
        <v>81</v>
      </c>
      <c r="B33" s="157"/>
      <c r="C33" s="155"/>
      <c r="D33" s="137"/>
      <c r="E33" s="137" t="s">
        <v>101</v>
      </c>
      <c r="F33" s="137"/>
      <c r="G33" s="137"/>
      <c r="H33" s="137"/>
      <c r="I33" s="137"/>
      <c r="J33" s="136">
        <f>M23</f>
        <v>-1799.9999999999998</v>
      </c>
      <c r="K33" s="137"/>
      <c r="L33" s="137"/>
      <c r="M33" s="137"/>
      <c r="N33" s="137"/>
      <c r="O33" s="137"/>
      <c r="P33" s="137"/>
      <c r="Q33" s="138"/>
      <c r="R33" s="5"/>
      <c r="S33" s="87">
        <f>C40*S32</f>
        <v>-1677.2606999999998</v>
      </c>
      <c r="T33" s="89" t="s">
        <v>95</v>
      </c>
      <c r="U33" s="85"/>
      <c r="V33" s="85"/>
      <c r="W33" s="85"/>
      <c r="X33" s="85"/>
      <c r="Y33" s="85"/>
      <c r="Z33" s="85"/>
      <c r="AA33" s="86"/>
    </row>
    <row r="34" spans="1:27" ht="16" thickBot="1">
      <c r="A34" s="53"/>
      <c r="B34" s="54" t="s">
        <v>82</v>
      </c>
      <c r="C34" s="70">
        <f>SUM(C29:C33)</f>
        <v>0</v>
      </c>
      <c r="D34" s="137"/>
      <c r="E34" s="137" t="s">
        <v>35</v>
      </c>
      <c r="F34" s="137"/>
      <c r="G34" s="137"/>
      <c r="H34" s="137"/>
      <c r="I34" s="137"/>
      <c r="J34" s="136">
        <v>0</v>
      </c>
      <c r="K34" s="137"/>
      <c r="L34" s="137"/>
      <c r="M34" s="137" t="s">
        <v>36</v>
      </c>
      <c r="N34" s="137"/>
      <c r="O34" s="137"/>
      <c r="P34" s="137" t="s">
        <v>37</v>
      </c>
      <c r="Q34" s="140">
        <v>0</v>
      </c>
      <c r="R34" s="5"/>
      <c r="S34" s="87"/>
      <c r="T34" s="87"/>
      <c r="U34" s="85"/>
      <c r="V34" s="85"/>
      <c r="W34" s="85"/>
      <c r="X34" s="85"/>
      <c r="Y34" s="85"/>
      <c r="Z34" s="85"/>
      <c r="AA34" s="86"/>
    </row>
    <row r="35" spans="1:27" ht="16" thickBot="1">
      <c r="A35" s="37" t="s">
        <v>38</v>
      </c>
      <c r="B35" s="38"/>
      <c r="C35" s="67"/>
      <c r="D35" s="137"/>
      <c r="E35" s="137" t="s">
        <v>39</v>
      </c>
      <c r="F35" s="137"/>
      <c r="G35" s="137"/>
      <c r="H35" s="137"/>
      <c r="I35" s="137"/>
      <c r="J35" s="136">
        <f>(Q23-P23)*FIT_marginal_rate</f>
        <v>0</v>
      </c>
      <c r="K35" s="137"/>
      <c r="L35" s="137"/>
      <c r="M35" s="137"/>
      <c r="N35" s="137"/>
      <c r="O35" s="137"/>
      <c r="P35" s="137" t="s">
        <v>40</v>
      </c>
      <c r="Q35" s="140">
        <f>C18</f>
        <v>-1799.9999999999998</v>
      </c>
      <c r="R35" s="5"/>
      <c r="S35" s="87"/>
      <c r="T35" s="87"/>
      <c r="U35" s="85"/>
      <c r="V35" s="85"/>
      <c r="W35" s="85"/>
      <c r="X35" s="85"/>
      <c r="Y35" s="85"/>
      <c r="Z35" s="85"/>
      <c r="AA35" s="86"/>
    </row>
    <row r="36" spans="1:27">
      <c r="A36" s="40" t="s">
        <v>41</v>
      </c>
      <c r="B36" s="57" t="str">
        <f>'2017'!B36</f>
        <v>(Changed for 2017 rate change by IRS)</v>
      </c>
      <c r="C36" s="56">
        <v>127200</v>
      </c>
      <c r="D36" s="137"/>
      <c r="E36" s="137" t="s">
        <v>42</v>
      </c>
      <c r="F36" s="137"/>
      <c r="G36" s="137"/>
      <c r="H36" s="137"/>
      <c r="I36" s="137"/>
      <c r="J36" s="136">
        <f>SUM(J30:J35)</f>
        <v>-1799.9999999999998</v>
      </c>
      <c r="K36" s="137"/>
      <c r="L36" s="137"/>
      <c r="M36" s="87"/>
      <c r="N36" s="87"/>
      <c r="O36" s="93" t="s">
        <v>96</v>
      </c>
      <c r="P36" s="87" t="s">
        <v>40</v>
      </c>
      <c r="Q36" s="94">
        <v>0</v>
      </c>
      <c r="R36" s="5"/>
      <c r="S36" s="87"/>
      <c r="T36" s="87"/>
      <c r="U36" s="85"/>
      <c r="V36" s="85"/>
      <c r="W36" s="85"/>
      <c r="X36" s="85"/>
      <c r="Y36" s="85"/>
      <c r="Z36" s="85"/>
      <c r="AA36" s="86"/>
    </row>
    <row r="37" spans="1:27">
      <c r="A37" s="49" t="s">
        <v>44</v>
      </c>
      <c r="B37" s="57"/>
      <c r="C37" s="58">
        <v>0.153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47" t="s">
        <v>83</v>
      </c>
      <c r="N37" s="148">
        <f>SUM(Q37/SUM(C12:C15))</f>
        <v>8.9999999999999993E-3</v>
      </c>
      <c r="O37" s="137"/>
      <c r="P37" s="137" t="s">
        <v>43</v>
      </c>
      <c r="Q37" s="140">
        <f>SUM(Q34:Q36)</f>
        <v>-1799.9999999999998</v>
      </c>
      <c r="R37" s="5"/>
      <c r="S37" s="90">
        <f>SUM(C17:C18)</f>
        <v>-1799.9999999999998</v>
      </c>
      <c r="T37" s="90">
        <f>SUM(Q37-S37)</f>
        <v>0</v>
      </c>
      <c r="U37" s="85"/>
      <c r="V37" s="85"/>
      <c r="W37" s="85"/>
      <c r="X37" s="85"/>
      <c r="Y37" s="85"/>
      <c r="Z37" s="85"/>
      <c r="AA37" s="86"/>
    </row>
    <row r="38" spans="1:27">
      <c r="A38" s="49" t="s">
        <v>46</v>
      </c>
      <c r="B38" s="59"/>
      <c r="C38" s="58">
        <v>2.9000000000000001E-2</v>
      </c>
      <c r="D38" s="137"/>
      <c r="E38" s="146" t="s">
        <v>47</v>
      </c>
      <c r="F38" s="137"/>
      <c r="G38" s="137"/>
      <c r="H38" s="137"/>
      <c r="I38" s="137" t="s">
        <v>48</v>
      </c>
      <c r="J38" s="137"/>
      <c r="K38" s="137"/>
      <c r="L38" s="137"/>
      <c r="M38" s="142"/>
      <c r="N38" s="142"/>
      <c r="O38" s="142"/>
      <c r="P38" s="142"/>
      <c r="Q38" s="143"/>
      <c r="R38" s="24"/>
      <c r="S38" s="87"/>
      <c r="T38" s="85"/>
      <c r="U38" s="85"/>
      <c r="V38" s="85"/>
      <c r="W38" s="85"/>
      <c r="X38" s="85"/>
      <c r="Y38" s="85"/>
      <c r="Z38" s="85"/>
      <c r="AA38" s="86"/>
    </row>
    <row r="39" spans="1:27">
      <c r="A39" s="151" t="s">
        <v>92</v>
      </c>
      <c r="B39" s="152" t="str">
        <f>'2017'!B39</f>
        <v>(IRS added in 2013, no change for 2016)</v>
      </c>
      <c r="C39" s="153">
        <v>200000</v>
      </c>
      <c r="D39" s="137"/>
      <c r="E39" s="146"/>
      <c r="F39" s="137"/>
      <c r="G39" s="137"/>
      <c r="H39" s="137"/>
      <c r="I39" s="137"/>
      <c r="J39" s="137"/>
      <c r="K39" s="137"/>
      <c r="L39" s="137"/>
      <c r="M39" s="145" t="s">
        <v>45</v>
      </c>
      <c r="N39" s="145"/>
      <c r="O39" s="145"/>
      <c r="P39" s="145"/>
      <c r="Q39" s="149"/>
      <c r="R39" s="24"/>
      <c r="S39" s="87"/>
      <c r="T39" s="85"/>
      <c r="U39" s="85"/>
      <c r="V39" s="85"/>
      <c r="W39" s="85"/>
      <c r="X39" s="85"/>
      <c r="Y39" s="85"/>
      <c r="Z39" s="85"/>
      <c r="AA39" s="86"/>
    </row>
    <row r="40" spans="1:27" ht="16" thickBot="1">
      <c r="A40" s="151" t="s">
        <v>93</v>
      </c>
      <c r="B40" s="152" t="str">
        <f>'2017'!B40</f>
        <v>(IRS added in 2013, no change for 2016)</v>
      </c>
      <c r="C40" s="154">
        <v>8.9999999999999993E-3</v>
      </c>
      <c r="D40" s="137"/>
      <c r="E40" s="137" t="s">
        <v>51</v>
      </c>
      <c r="F40" s="137"/>
      <c r="G40" s="137"/>
      <c r="H40" s="137"/>
      <c r="I40" s="137"/>
      <c r="J40" s="136">
        <v>0</v>
      </c>
      <c r="K40" s="137"/>
      <c r="L40" s="137"/>
      <c r="M40" s="137" t="s">
        <v>49</v>
      </c>
      <c r="N40" s="137"/>
      <c r="O40" s="137"/>
      <c r="P40" s="137"/>
      <c r="Q40" s="140">
        <f>Q37</f>
        <v>-1799.9999999999998</v>
      </c>
      <c r="R40" s="24"/>
      <c r="S40" s="97"/>
      <c r="T40" s="91"/>
      <c r="U40" s="91"/>
      <c r="V40" s="91"/>
      <c r="W40" s="91"/>
      <c r="X40" s="91"/>
      <c r="Y40" s="91"/>
      <c r="Z40" s="91"/>
      <c r="AA40" s="92"/>
    </row>
    <row r="41" spans="1:27">
      <c r="A41" s="49" t="s">
        <v>50</v>
      </c>
      <c r="B41" s="59"/>
      <c r="C41" s="60">
        <v>0.18</v>
      </c>
      <c r="D41" s="137"/>
      <c r="E41" s="137" t="s">
        <v>54</v>
      </c>
      <c r="F41" s="137"/>
      <c r="G41" s="137"/>
      <c r="H41" s="137"/>
      <c r="I41" s="139">
        <f>J41/J36</f>
        <v>0.18</v>
      </c>
      <c r="J41" s="136">
        <f>C19</f>
        <v>-323.99999999999994</v>
      </c>
      <c r="K41" s="137"/>
      <c r="L41" s="137"/>
      <c r="M41" s="137" t="s">
        <v>52</v>
      </c>
      <c r="N41" s="137"/>
      <c r="O41" s="137"/>
      <c r="P41" s="137"/>
      <c r="Q41" s="140">
        <f>P23*FIT_average_rate</f>
        <v>-233.99999999999997</v>
      </c>
      <c r="R41" s="24"/>
      <c r="S41" s="80"/>
      <c r="T41" s="81"/>
      <c r="U41" s="81"/>
      <c r="V41" s="81"/>
      <c r="W41" s="81"/>
      <c r="X41" s="81"/>
      <c r="Y41" s="81"/>
      <c r="Z41" s="81"/>
      <c r="AA41" s="81"/>
    </row>
    <row r="42" spans="1:27" ht="16" thickBot="1">
      <c r="A42" s="46" t="s">
        <v>53</v>
      </c>
      <c r="B42" s="62" t="s">
        <v>77</v>
      </c>
      <c r="C42" s="63">
        <v>0.3</v>
      </c>
      <c r="D42" s="137"/>
      <c r="E42" s="137" t="s">
        <v>57</v>
      </c>
      <c r="F42" s="137"/>
      <c r="G42" s="137"/>
      <c r="H42" s="137"/>
      <c r="I42" s="137"/>
      <c r="J42" s="136">
        <v>0</v>
      </c>
      <c r="K42" s="137"/>
      <c r="L42" s="137"/>
      <c r="M42" s="137" t="s">
        <v>55</v>
      </c>
      <c r="N42" s="137"/>
      <c r="O42" s="137"/>
      <c r="P42" s="137"/>
      <c r="Q42" s="140">
        <f>Q41+Q37</f>
        <v>-2033.9999999999998</v>
      </c>
      <c r="R42" s="24"/>
      <c r="S42" s="80"/>
      <c r="T42" s="81"/>
      <c r="U42" s="81"/>
      <c r="V42" s="81"/>
      <c r="W42" s="81"/>
      <c r="X42" s="81"/>
      <c r="Y42" s="81"/>
      <c r="Z42" s="81"/>
      <c r="AA42" s="81"/>
    </row>
    <row r="43" spans="1:27">
      <c r="A43" s="64" t="s">
        <v>56</v>
      </c>
      <c r="B43" s="26"/>
      <c r="C43" s="65">
        <v>0.28000000000000003</v>
      </c>
      <c r="D43" s="137"/>
      <c r="E43" s="137" t="s">
        <v>60</v>
      </c>
      <c r="F43" s="137"/>
      <c r="G43" s="137"/>
      <c r="H43" s="137"/>
      <c r="I43" s="137"/>
      <c r="J43" s="136"/>
      <c r="K43" s="137"/>
      <c r="L43" s="137"/>
      <c r="M43" s="145" t="s">
        <v>58</v>
      </c>
      <c r="N43" s="145"/>
      <c r="O43" s="145"/>
      <c r="P43" s="145"/>
      <c r="Q43" s="149"/>
      <c r="R43" s="24"/>
      <c r="S43" s="33"/>
    </row>
    <row r="44" spans="1:27">
      <c r="A44" s="21"/>
      <c r="B44" s="17" t="s">
        <v>59</v>
      </c>
      <c r="C44" s="24"/>
      <c r="D44" s="137"/>
      <c r="E44" s="137"/>
      <c r="F44" s="137"/>
      <c r="G44" s="137"/>
      <c r="H44" s="137"/>
      <c r="I44" s="137"/>
      <c r="J44" s="136"/>
      <c r="K44" s="137"/>
      <c r="L44" s="137"/>
      <c r="M44" s="137" t="s">
        <v>30</v>
      </c>
      <c r="N44" s="137"/>
      <c r="O44" s="137"/>
      <c r="P44" s="137"/>
      <c r="Q44" s="144">
        <f>D12/12</f>
        <v>-16666.666666666668</v>
      </c>
      <c r="R44" s="24"/>
      <c r="S44" s="33"/>
    </row>
    <row r="45" spans="1:27">
      <c r="A45" s="21"/>
      <c r="B45" s="17" t="s">
        <v>61</v>
      </c>
      <c r="C45" s="24"/>
      <c r="D45" s="137"/>
      <c r="E45" s="137"/>
      <c r="F45" s="137"/>
      <c r="G45" s="137"/>
      <c r="H45" s="137"/>
      <c r="I45" s="139">
        <f>J45/J36</f>
        <v>0.18</v>
      </c>
      <c r="J45" s="136">
        <f>SUM(J40:J44)</f>
        <v>-323.99999999999994</v>
      </c>
      <c r="K45" s="137"/>
      <c r="L45" s="137"/>
      <c r="M45" s="137" t="s">
        <v>7</v>
      </c>
      <c r="N45" s="137"/>
      <c r="O45" s="137"/>
      <c r="P45" s="137"/>
      <c r="Q45" s="144">
        <f>D13/12</f>
        <v>0</v>
      </c>
      <c r="R45" s="24"/>
      <c r="S45" s="33"/>
    </row>
    <row r="46" spans="1:27">
      <c r="A46" s="21" t="s">
        <v>63</v>
      </c>
      <c r="B46" s="17"/>
      <c r="C46" s="60">
        <v>0.13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 t="s">
        <v>89</v>
      </c>
      <c r="N46" s="137"/>
      <c r="O46" s="137"/>
      <c r="P46" s="137"/>
      <c r="Q46" s="144">
        <f>(C17+C18)/12</f>
        <v>-149.99999999999997</v>
      </c>
      <c r="R46" s="24"/>
      <c r="S46" s="33"/>
    </row>
    <row r="47" spans="1:27">
      <c r="A47" s="21"/>
      <c r="B47" s="17" t="s">
        <v>64</v>
      </c>
      <c r="C47" s="24"/>
      <c r="D47" s="137"/>
      <c r="E47" s="145" t="s">
        <v>66</v>
      </c>
      <c r="F47" s="137"/>
      <c r="G47" s="137"/>
      <c r="H47" s="137"/>
      <c r="I47" s="137"/>
      <c r="J47" s="136">
        <f>J45+J36</f>
        <v>-2123.9999999999995</v>
      </c>
      <c r="K47" s="137"/>
      <c r="L47" s="137"/>
      <c r="M47" s="137" t="s">
        <v>67</v>
      </c>
      <c r="N47" s="137"/>
      <c r="O47" s="137"/>
      <c r="P47" s="137"/>
      <c r="Q47" s="144">
        <f>D22/12</f>
        <v>0</v>
      </c>
      <c r="R47" s="24"/>
      <c r="S47" s="33"/>
    </row>
    <row r="48" spans="1:27" ht="16" thickBot="1">
      <c r="A48" s="53"/>
      <c r="B48" s="54" t="s">
        <v>65</v>
      </c>
      <c r="C48" s="67"/>
      <c r="D48" s="137"/>
      <c r="E48" s="137"/>
      <c r="F48" s="137"/>
      <c r="G48" s="137"/>
      <c r="H48" s="137"/>
      <c r="I48" s="137"/>
      <c r="J48" s="137"/>
      <c r="K48" s="137"/>
      <c r="L48" s="137"/>
      <c r="M48" s="137" t="s">
        <v>88</v>
      </c>
      <c r="N48" s="137"/>
      <c r="O48" s="137"/>
      <c r="P48" s="137"/>
      <c r="Q48" s="144">
        <f>-Q42/12</f>
        <v>169.49999999999997</v>
      </c>
      <c r="R48" s="24"/>
      <c r="S48" s="33"/>
    </row>
    <row r="49" spans="1:28">
      <c r="A49" s="21"/>
      <c r="B49" s="17"/>
      <c r="C49" s="1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44"/>
      <c r="R49" s="24"/>
      <c r="S49" s="33"/>
    </row>
    <row r="50" spans="1:28">
      <c r="A50" s="11"/>
      <c r="B50" s="4"/>
      <c r="C50" s="4"/>
      <c r="D50" s="142"/>
      <c r="E50" s="142"/>
      <c r="F50" s="142"/>
      <c r="G50" s="142"/>
      <c r="H50" s="142"/>
      <c r="I50" s="142"/>
      <c r="J50" s="142"/>
      <c r="K50" s="137"/>
      <c r="L50" s="137"/>
      <c r="M50" s="137" t="s">
        <v>68</v>
      </c>
      <c r="N50" s="137"/>
      <c r="O50" s="137"/>
      <c r="P50" s="137"/>
      <c r="Q50" s="144">
        <f>SUM(Q44:Q49)</f>
        <v>-16647.166666666668</v>
      </c>
      <c r="R50" s="24"/>
      <c r="S50" s="33"/>
    </row>
    <row r="51" spans="1:28" ht="16" thickBo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 t="s">
        <v>69</v>
      </c>
      <c r="M51" s="54"/>
      <c r="N51" s="54"/>
      <c r="O51" s="54"/>
      <c r="P51" s="54"/>
      <c r="Q51" s="67"/>
      <c r="R51" s="67"/>
      <c r="S51" s="33"/>
    </row>
    <row r="52" spans="1:28">
      <c r="A52" s="21"/>
      <c r="B52" s="17"/>
      <c r="C52" s="30"/>
      <c r="D52" s="17"/>
      <c r="E52" s="17"/>
      <c r="F52" s="17"/>
      <c r="G52" s="17"/>
      <c r="H52" s="17"/>
      <c r="I52" s="17"/>
      <c r="J52" s="17"/>
      <c r="K52" s="17"/>
      <c r="L52" s="17"/>
      <c r="M52" s="4"/>
      <c r="N52" s="17"/>
      <c r="O52" s="17"/>
      <c r="P52" s="17"/>
      <c r="Q52" s="17"/>
      <c r="R52" s="17"/>
      <c r="S52" s="33"/>
      <c r="AB52" s="4"/>
    </row>
    <row r="53" spans="1:28" s="4" customFormat="1">
      <c r="M53" s="17"/>
      <c r="N53" s="17"/>
      <c r="O53" s="17"/>
      <c r="P53" s="17"/>
      <c r="Q53" s="17"/>
      <c r="R53" s="17"/>
      <c r="S53" s="17"/>
    </row>
  </sheetData>
  <sheetProtection password="8E91" sheet="1" objects="1" scenarios="1" formatCells="0" formatColumns="0" formatRows="0" insertColumns="0" insertRows="0"/>
  <protectedRanges>
    <protectedRange password="CA05" sqref="B33" name="Other Utili"/>
    <protectedRange password="CA05" sqref="C29:C33" name="Utilities Detail"/>
    <protectedRange password="CA05" sqref="C12:C13" name="Compenstion Info"/>
    <protectedRange password="CA05" sqref="B4:C6" name="Name Info"/>
    <protectedRange password="CA05" sqref="A9" name="Rectory"/>
    <protectedRange password="CA05" sqref="C22" name="Tax Annuity"/>
  </protectedRanges>
  <mergeCells count="6">
    <mergeCell ref="P9:Q9"/>
    <mergeCell ref="B4:C4"/>
    <mergeCell ref="B5:C5"/>
    <mergeCell ref="B6:C6"/>
    <mergeCell ref="D9:F9"/>
    <mergeCell ref="L9:N9"/>
  </mergeCells>
  <printOptions gridLines="1"/>
  <pageMargins left="0.25" right="0.25" top="0.5" bottom="0.5" header="0.25" footer="0.25"/>
  <pageSetup scale="57" orientation="landscape" horizontalDpi="300" verticalDpi="300" r:id="rId1"/>
  <headerFooter alignWithMargins="0">
    <oddHeader>&amp;CEpiscopal Diocese of Texas - Clergy Compensation Worksheet - Addt'l Medicare Tax - for 2017</oddHeader>
    <oddFooter>&amp;C&amp;D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9"/>
  <sheetViews>
    <sheetView workbookViewId="0">
      <selection activeCell="B34" sqref="B34"/>
    </sheetView>
  </sheetViews>
  <sheetFormatPr defaultRowHeight="12.5"/>
  <cols>
    <col min="1" max="1" width="14.453125" bestFit="1" customWidth="1"/>
    <col min="2" max="2" width="63.81640625" customWidth="1"/>
    <col min="3" max="3" width="13.54296875" bestFit="1" customWidth="1"/>
    <col min="10" max="10" width="11.1796875" bestFit="1" customWidth="1"/>
    <col min="11" max="11" width="12" customWidth="1"/>
  </cols>
  <sheetData>
    <row r="1" spans="1:10" ht="13" thickBot="1"/>
    <row r="2" spans="1:10" ht="13">
      <c r="A2" s="123"/>
      <c r="B2" s="124"/>
      <c r="C2" s="125"/>
    </row>
    <row r="3" spans="1:10" ht="13">
      <c r="A3" s="126" t="s">
        <v>78</v>
      </c>
      <c r="B3" s="122">
        <f>'2017 200k +'!B4:C4</f>
        <v>0</v>
      </c>
      <c r="C3" s="127"/>
    </row>
    <row r="4" spans="1:10" ht="13">
      <c r="A4" s="126" t="s">
        <v>79</v>
      </c>
      <c r="B4" s="150">
        <f>'2017 200k +'!B5:C5</f>
        <v>0</v>
      </c>
      <c r="C4" s="128"/>
    </row>
    <row r="5" spans="1:10" ht="13">
      <c r="A5" s="126" t="s">
        <v>80</v>
      </c>
      <c r="B5" s="150">
        <f>'2017 200k +'!B6:C6</f>
        <v>0</v>
      </c>
      <c r="C5" s="127"/>
    </row>
    <row r="6" spans="1:10" ht="13">
      <c r="A6" s="126"/>
      <c r="B6" s="129"/>
      <c r="C6" s="128"/>
    </row>
    <row r="7" spans="1:10" ht="13">
      <c r="A7" s="126"/>
      <c r="B7" s="129"/>
      <c r="C7" s="128"/>
    </row>
    <row r="8" spans="1:10" ht="13">
      <c r="A8" s="126">
        <f>'2017'!Rectory?</f>
        <v>0</v>
      </c>
      <c r="B8" s="130" t="s">
        <v>0</v>
      </c>
      <c r="C8" s="128"/>
    </row>
    <row r="9" spans="1:10" ht="13">
      <c r="A9" s="126"/>
      <c r="B9" s="130"/>
      <c r="C9" s="128" t="s">
        <v>86</v>
      </c>
    </row>
    <row r="10" spans="1:10" ht="13">
      <c r="A10" s="126"/>
      <c r="B10" s="130"/>
      <c r="C10" s="128"/>
    </row>
    <row r="11" spans="1:10" ht="13">
      <c r="A11" s="126" t="s">
        <v>8</v>
      </c>
      <c r="B11" s="130" t="s">
        <v>5</v>
      </c>
      <c r="C11" s="131">
        <f>'2017'!S</f>
        <v>0</v>
      </c>
      <c r="E11" s="121">
        <f>SUM(C11:C12)</f>
        <v>0</v>
      </c>
      <c r="F11" t="s">
        <v>107</v>
      </c>
    </row>
    <row r="12" spans="1:10" ht="13">
      <c r="A12" s="126" t="s">
        <v>9</v>
      </c>
      <c r="B12" s="130" t="s">
        <v>10</v>
      </c>
      <c r="C12" s="131">
        <f>'2017'!H</f>
        <v>0</v>
      </c>
    </row>
    <row r="13" spans="1:10" ht="13">
      <c r="A13" s="126" t="s">
        <v>11</v>
      </c>
      <c r="B13" s="130" t="s">
        <v>12</v>
      </c>
      <c r="C13" s="131">
        <f>'2017'!U</f>
        <v>0</v>
      </c>
    </row>
    <row r="14" spans="1:10" ht="13">
      <c r="A14" s="126" t="s">
        <v>13</v>
      </c>
      <c r="B14" s="130" t="s">
        <v>14</v>
      </c>
      <c r="C14" s="131">
        <f>'2017'!C15</f>
        <v>0</v>
      </c>
    </row>
    <row r="15" spans="1:10" ht="13">
      <c r="A15" s="126" t="s">
        <v>105</v>
      </c>
      <c r="B15" s="162" t="s">
        <v>104</v>
      </c>
      <c r="C15" s="131">
        <f>'2017'!C16</f>
        <v>0</v>
      </c>
    </row>
    <row r="16" spans="1:10" ht="13">
      <c r="A16" s="126" t="s">
        <v>15</v>
      </c>
      <c r="B16" s="130" t="s">
        <v>16</v>
      </c>
      <c r="C16" s="131">
        <f>'2017'!SSR</f>
        <v>0</v>
      </c>
      <c r="E16" s="121">
        <f>SUM(C16:C17)</f>
        <v>-1799.9999999999998</v>
      </c>
      <c r="F16" t="s">
        <v>102</v>
      </c>
      <c r="I16" s="167" t="e">
        <f>E16/E11</f>
        <v>#DIV/0!</v>
      </c>
      <c r="J16" t="s">
        <v>108</v>
      </c>
    </row>
    <row r="17" spans="1:11" ht="13">
      <c r="A17" s="126" t="s">
        <v>17</v>
      </c>
      <c r="B17" s="130" t="s">
        <v>18</v>
      </c>
      <c r="C17" s="131">
        <f>SUM('2017'!C18+'2017 200k +'!C18)</f>
        <v>-1799.9999999999998</v>
      </c>
    </row>
    <row r="18" spans="1:11" ht="13">
      <c r="A18" s="126" t="s">
        <v>19</v>
      </c>
      <c r="B18" s="130" t="s">
        <v>20</v>
      </c>
      <c r="C18" s="131">
        <f>SUM('2017'!C19+'2017 200k +'!C19)</f>
        <v>-323.99999999999994</v>
      </c>
    </row>
    <row r="19" spans="1:11" ht="13.5" thickBot="1">
      <c r="A19" s="126"/>
      <c r="B19" s="130" t="s">
        <v>23</v>
      </c>
      <c r="C19" s="163">
        <f>SUM(C11:C18)</f>
        <v>-2123.9999999999995</v>
      </c>
    </row>
    <row r="20" spans="1:11" ht="13.5" thickTop="1">
      <c r="A20" s="126"/>
      <c r="B20" s="130"/>
      <c r="C20" s="128"/>
    </row>
    <row r="21" spans="1:11" ht="13">
      <c r="A21" s="126" t="s">
        <v>21</v>
      </c>
      <c r="B21" s="130" t="s">
        <v>22</v>
      </c>
      <c r="C21" s="131">
        <f>'2017'!C22</f>
        <v>0</v>
      </c>
    </row>
    <row r="22" spans="1:11" ht="13">
      <c r="A22" s="126"/>
      <c r="B22" s="130" t="s">
        <v>84</v>
      </c>
      <c r="C22" s="128"/>
    </row>
    <row r="23" spans="1:11" ht="13">
      <c r="A23" s="132"/>
      <c r="B23" s="130" t="s">
        <v>85</v>
      </c>
      <c r="C23" s="128"/>
    </row>
    <row r="24" spans="1:11">
      <c r="A24" s="132"/>
      <c r="B24" s="129"/>
      <c r="C24" s="128"/>
    </row>
    <row r="25" spans="1:11" ht="13" thickBot="1">
      <c r="A25" s="133"/>
      <c r="B25" s="134"/>
      <c r="C25" s="135"/>
    </row>
    <row r="27" spans="1:11" ht="13" thickBot="1"/>
    <row r="28" spans="1:11" ht="15.5" thickBot="1">
      <c r="A28" s="172" t="s">
        <v>109</v>
      </c>
      <c r="B28" s="173"/>
      <c r="C28" s="174"/>
    </row>
    <row r="29" spans="1:11" ht="15.5">
      <c r="A29" s="171" t="s">
        <v>5</v>
      </c>
      <c r="B29" s="170"/>
      <c r="C29" s="168">
        <f>C11/24</f>
        <v>0</v>
      </c>
    </row>
    <row r="30" spans="1:11" ht="15.5">
      <c r="A30" s="171" t="s">
        <v>7</v>
      </c>
      <c r="B30" s="170"/>
      <c r="C30" s="168">
        <f>S/24</f>
        <v>0</v>
      </c>
    </row>
    <row r="31" spans="1:11" ht="15.5">
      <c r="A31" s="171" t="s">
        <v>114</v>
      </c>
      <c r="B31" s="170"/>
      <c r="C31" s="168">
        <f>E16/24</f>
        <v>-74.999999999999986</v>
      </c>
      <c r="D31" s="177"/>
      <c r="E31" s="177"/>
      <c r="F31" s="177"/>
      <c r="G31" s="177"/>
      <c r="H31" s="177"/>
      <c r="I31" s="177"/>
      <c r="J31" s="177"/>
      <c r="K31" s="177"/>
    </row>
    <row r="32" spans="1:11" ht="15.5">
      <c r="A32" s="171" t="s">
        <v>110</v>
      </c>
      <c r="B32" s="170"/>
      <c r="C32" s="168">
        <f>-18000/24</f>
        <v>-750</v>
      </c>
      <c r="D32" s="177"/>
      <c r="E32" s="177"/>
      <c r="F32" s="177"/>
      <c r="G32" s="177"/>
      <c r="H32" s="181"/>
      <c r="I32" s="177"/>
      <c r="J32" s="179"/>
      <c r="K32" s="181"/>
    </row>
    <row r="33" spans="1:11" ht="15.5">
      <c r="A33" s="171" t="s">
        <v>115</v>
      </c>
      <c r="B33" s="170"/>
      <c r="C33" s="168">
        <f>-SUM(53000-E16)/24</f>
        <v>-2283.3333333333335</v>
      </c>
      <c r="D33" s="177"/>
      <c r="E33" s="177"/>
      <c r="F33" s="177"/>
      <c r="G33" s="177"/>
      <c r="H33" s="177"/>
      <c r="I33" s="177"/>
      <c r="J33" s="179"/>
      <c r="K33" s="181"/>
    </row>
    <row r="34" spans="1:11" s="169" customFormat="1" ht="15.5">
      <c r="A34" s="171" t="s">
        <v>116</v>
      </c>
      <c r="B34" s="170"/>
      <c r="C34" s="168">
        <f>-C31</f>
        <v>74.999999999999986</v>
      </c>
      <c r="D34" s="177"/>
      <c r="E34" s="177"/>
      <c r="F34" s="177"/>
      <c r="G34" s="177"/>
      <c r="H34" s="177"/>
      <c r="I34" s="177"/>
      <c r="J34" s="182"/>
      <c r="K34" s="181"/>
    </row>
    <row r="35" spans="1:11" s="169" customFormat="1" ht="15.5">
      <c r="A35" s="171" t="s">
        <v>111</v>
      </c>
      <c r="B35" s="170"/>
      <c r="C35" s="168">
        <v>-106.5</v>
      </c>
    </row>
    <row r="36" spans="1:11" s="169" customFormat="1" ht="15.5">
      <c r="A36" s="171" t="s">
        <v>112</v>
      </c>
      <c r="B36" s="170"/>
      <c r="C36" s="168">
        <f>-SUM(2390/24)</f>
        <v>-99.583333333333329</v>
      </c>
    </row>
    <row r="37" spans="1:11" s="169" customFormat="1" ht="15.5">
      <c r="A37" s="171" t="s">
        <v>113</v>
      </c>
      <c r="B37" s="170"/>
      <c r="C37" s="168">
        <v>-89.25</v>
      </c>
    </row>
    <row r="38" spans="1:11" ht="15.5">
      <c r="A38" s="171"/>
      <c r="B38" s="170"/>
      <c r="C38" s="178"/>
    </row>
    <row r="39" spans="1:11" ht="15.5" thickBot="1">
      <c r="A39" s="175" t="s">
        <v>68</v>
      </c>
      <c r="B39" s="176"/>
      <c r="C39" s="180">
        <f>SUM(C29:C38)</f>
        <v>-3328.666666666667</v>
      </c>
    </row>
  </sheetData>
  <sheetProtection password="8E91" sheet="1" objects="1" scenarios="1"/>
  <printOptions gridLines="1"/>
  <pageMargins left="0.7" right="0.7" top="0.75" bottom="0.75" header="0.3" footer="0.3"/>
  <pageSetup scale="70" fitToHeight="0" orientation="landscape" r:id="rId1"/>
  <headerFooter>
    <oddHeader>&amp;CTotal 2017 Clergy Comp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2017</vt:lpstr>
      <vt:lpstr>2017 200k +</vt:lpstr>
      <vt:lpstr>Combined Print Sheet</vt:lpstr>
      <vt:lpstr>'2017'!FIT_average_rate</vt:lpstr>
      <vt:lpstr>'2017 200k +'!FIT_average_rate</vt:lpstr>
      <vt:lpstr>'2017'!FIT_marginal_rate</vt:lpstr>
      <vt:lpstr>'2017 200k +'!FIT_marginal_rate</vt:lpstr>
      <vt:lpstr>'2017'!H</vt:lpstr>
      <vt:lpstr>'2017 200k +'!H</vt:lpstr>
      <vt:lpstr>'Combined Print Sheet'!H</vt:lpstr>
      <vt:lpstr>'2017'!Housing_Value</vt:lpstr>
      <vt:lpstr>'2017 200k +'!Housing_Value</vt:lpstr>
      <vt:lpstr>'Combined Print Sheet'!Housing_Value</vt:lpstr>
      <vt:lpstr>'2017'!MC_tax_rate</vt:lpstr>
      <vt:lpstr>'2017 200k +'!MC_tax_rate</vt:lpstr>
      <vt:lpstr>'Combined Print Sheet'!MC_tax_rate</vt:lpstr>
      <vt:lpstr>'2017'!Pension_Rate</vt:lpstr>
      <vt:lpstr>'2017 200k +'!Pension_Rate</vt:lpstr>
      <vt:lpstr>'2017'!Print_Area</vt:lpstr>
      <vt:lpstr>'2017 200k +'!Print_Area</vt:lpstr>
      <vt:lpstr>'Combined Print Sheet'!Print_Area</vt:lpstr>
      <vt:lpstr>'2017'!Rectory?</vt:lpstr>
      <vt:lpstr>'2017 200k +'!Rectory?</vt:lpstr>
      <vt:lpstr>'Combined Print Sheet'!Rectory?</vt:lpstr>
      <vt:lpstr>'2017'!S</vt:lpstr>
      <vt:lpstr>'2017 200k +'!S</vt:lpstr>
      <vt:lpstr>'Combined Print Sheet'!S</vt:lpstr>
      <vt:lpstr>'2017'!SE_tax_base</vt:lpstr>
      <vt:lpstr>'2017 200k +'!SE_tax_base</vt:lpstr>
      <vt:lpstr>'Combined Print Sheet'!SE_tax_base</vt:lpstr>
      <vt:lpstr>'2017'!SE_tax_rate</vt:lpstr>
      <vt:lpstr>'2017 200k +'!SE_tax_rate</vt:lpstr>
      <vt:lpstr>'Combined Print Sheet'!SE_tax_rate</vt:lpstr>
      <vt:lpstr>'2017'!SSR</vt:lpstr>
      <vt:lpstr>'2017 200k +'!SSR</vt:lpstr>
      <vt:lpstr>'Combined Print Sheet'!SSR</vt:lpstr>
      <vt:lpstr>'2017'!U</vt:lpstr>
      <vt:lpstr>'2017 200k +'!U</vt:lpstr>
      <vt:lpstr>'Combined Print Sheet'!U</vt:lpstr>
    </vt:vector>
  </TitlesOfParts>
  <Company>Episcopal Diocese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Mccloskey</dc:creator>
  <cp:lastModifiedBy>Jessica O'Leary</cp:lastModifiedBy>
  <cp:lastPrinted>2017-07-21T14:20:14Z</cp:lastPrinted>
  <dcterms:created xsi:type="dcterms:W3CDTF">2010-12-28T21:55:13Z</dcterms:created>
  <dcterms:modified xsi:type="dcterms:W3CDTF">2017-10-24T16:27:32Z</dcterms:modified>
</cp:coreProperties>
</file>